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VLP/Deal Structuring/"/>
    </mc:Choice>
  </mc:AlternateContent>
  <bookViews>
    <workbookView xWindow="0" yWindow="460" windowWidth="25600" windowHeight="14580" tabRatio="500"/>
  </bookViews>
  <sheets>
    <sheet name="Common Equity" sheetId="9" r:id="rId1"/>
    <sheet name="Straight preferred" sheetId="6" r:id="rId2"/>
    <sheet name="Convertible Preferred" sheetId="3" r:id="rId3"/>
    <sheet name="Participating Preferred (Full)" sheetId="5" r:id="rId4"/>
    <sheet name="Participating Preferred (Cap)" sheetId="7" r:id="rId5"/>
    <sheet name="Convert. Part. Pref. (Cap)" sheetId="8" r:id="rId6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"1UVN76PKRNMLW11VVBDNESD1"</definedName>
    <definedName name="_xlnm.Print_Area" localSheetId="0">'Common Equity'!$B$2:$F$20</definedName>
    <definedName name="_xlnm.Print_Area" localSheetId="5">'Convert. Part. Pref. (Cap)'!$B$2:$F$35</definedName>
    <definedName name="_xlnm.Print_Area" localSheetId="2">'Convertible Preferred'!$B$2:$F$30</definedName>
    <definedName name="_xlnm.Print_Area" localSheetId="4">'Participating Preferred (Cap)'!$B$2:$F$34</definedName>
    <definedName name="_xlnm.Print_Area" localSheetId="3">'Participating Preferred (Full)'!$B$2:$F$29</definedName>
    <definedName name="_xlnm.Print_Area" localSheetId="1">'Straight preferred'!$B$2:$F$27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olver_adj" localSheetId="0" hidden="1">'Common Equity'!$C$6</definedName>
    <definedName name="solver_adj" localSheetId="5" hidden="1">'Convert. Part. Pref. (Cap)'!#REF!</definedName>
    <definedName name="solver_adj" localSheetId="2" hidden="1">'Convertible Preferred'!$C$6</definedName>
    <definedName name="solver_adj" localSheetId="4" hidden="1">'Participating Preferred (Cap)'!$C$6</definedName>
    <definedName name="solver_adj" localSheetId="3" hidden="1">'Participating Preferred (Full)'!$C$6</definedName>
    <definedName name="solver_adj" localSheetId="1" hidden="1">'Straight preferred'!$C$6</definedName>
    <definedName name="solver_cvg" localSheetId="0" hidden="1">0.0001</definedName>
    <definedName name="solver_cvg" localSheetId="5" hidden="1">0.0001</definedName>
    <definedName name="solver_cvg" localSheetId="2" hidden="1">0.0001</definedName>
    <definedName name="solver_cvg" localSheetId="4" hidden="1">0.0001</definedName>
    <definedName name="solver_cvg" localSheetId="3" hidden="1">0.0001</definedName>
    <definedName name="solver_cvg" localSheetId="1" hidden="1">0.0001</definedName>
    <definedName name="solver_drv" localSheetId="0" hidden="1">1</definedName>
    <definedName name="solver_drv" localSheetId="5" hidden="1">1</definedName>
    <definedName name="solver_drv" localSheetId="2" hidden="1">1</definedName>
    <definedName name="solver_drv" localSheetId="4" hidden="1">1</definedName>
    <definedName name="solver_drv" localSheetId="3" hidden="1">1</definedName>
    <definedName name="solver_drv" localSheetId="1" hidden="1">1</definedName>
    <definedName name="solver_est" localSheetId="0" hidden="1">1</definedName>
    <definedName name="solver_est" localSheetId="5" hidden="1">1</definedName>
    <definedName name="solver_est" localSheetId="2" hidden="1">1</definedName>
    <definedName name="solver_est" localSheetId="4" hidden="1">1</definedName>
    <definedName name="solver_est" localSheetId="3" hidden="1">1</definedName>
    <definedName name="solver_est" localSheetId="1" hidden="1">1</definedName>
    <definedName name="solver_itr" localSheetId="0" hidden="1">100</definedName>
    <definedName name="solver_itr" localSheetId="5" hidden="1">100</definedName>
    <definedName name="solver_itr" localSheetId="2" hidden="1">100</definedName>
    <definedName name="solver_itr" localSheetId="4" hidden="1">100</definedName>
    <definedName name="solver_itr" localSheetId="3" hidden="1">100</definedName>
    <definedName name="solver_itr" localSheetId="1" hidden="1">100</definedName>
    <definedName name="solver_lhs1" localSheetId="0" hidden="1">'Common Equity'!#REF!</definedName>
    <definedName name="solver_lhs1" localSheetId="5" hidden="1">'Convert. Part. Pref. (Cap)'!#REF!</definedName>
    <definedName name="solver_lhs1" localSheetId="2" hidden="1">'Convertible Preferred'!#REF!</definedName>
    <definedName name="solver_lhs1" localSheetId="4" hidden="1">'Participating Preferred (Cap)'!#REF!</definedName>
    <definedName name="solver_lhs1" localSheetId="3" hidden="1">'Participating Preferred (Full)'!#REF!</definedName>
    <definedName name="solver_lhs1" localSheetId="1" hidden="1">'Straight preferred'!#REF!</definedName>
    <definedName name="solver_lin" localSheetId="0" hidden="1">2</definedName>
    <definedName name="solver_lin" localSheetId="5" hidden="1">2</definedName>
    <definedName name="solver_lin" localSheetId="2" hidden="1">2</definedName>
    <definedName name="solver_lin" localSheetId="4" hidden="1">2</definedName>
    <definedName name="solver_lin" localSheetId="3" hidden="1">2</definedName>
    <definedName name="solver_lin" localSheetId="1" hidden="1">2</definedName>
    <definedName name="solver_neg" localSheetId="0" hidden="1">2</definedName>
    <definedName name="solver_neg" localSheetId="5" hidden="1">2</definedName>
    <definedName name="solver_neg" localSheetId="2" hidden="1">2</definedName>
    <definedName name="solver_neg" localSheetId="4" hidden="1">2</definedName>
    <definedName name="solver_neg" localSheetId="3" hidden="1">2</definedName>
    <definedName name="solver_neg" localSheetId="1" hidden="1">2</definedName>
    <definedName name="solver_num" localSheetId="0" hidden="1">0</definedName>
    <definedName name="solver_num" localSheetId="5" hidden="1">0</definedName>
    <definedName name="solver_num" localSheetId="2" hidden="1">0</definedName>
    <definedName name="solver_num" localSheetId="4" hidden="1">0</definedName>
    <definedName name="solver_num" localSheetId="3" hidden="1">0</definedName>
    <definedName name="solver_num" localSheetId="1" hidden="1">0</definedName>
    <definedName name="solver_nwt" localSheetId="0" hidden="1">1</definedName>
    <definedName name="solver_nwt" localSheetId="5" hidden="1">1</definedName>
    <definedName name="solver_nwt" localSheetId="2" hidden="1">1</definedName>
    <definedName name="solver_nwt" localSheetId="4" hidden="1">1</definedName>
    <definedName name="solver_nwt" localSheetId="3" hidden="1">1</definedName>
    <definedName name="solver_nwt" localSheetId="1" hidden="1">1</definedName>
    <definedName name="solver_opt" localSheetId="0" hidden="1">'Common Equity'!#REF!</definedName>
    <definedName name="solver_opt" localSheetId="5" hidden="1">'Convert. Part. Pref. (Cap)'!#REF!</definedName>
    <definedName name="solver_opt" localSheetId="2" hidden="1">'Convertible Preferred'!$C$44</definedName>
    <definedName name="solver_opt" localSheetId="4" hidden="1">'Participating Preferred (Cap)'!$C$46</definedName>
    <definedName name="solver_opt" localSheetId="3" hidden="1">'Participating Preferred (Full)'!$C$42</definedName>
    <definedName name="solver_opt" localSheetId="1" hidden="1">'Straight preferred'!$C$40</definedName>
    <definedName name="solver_pre" localSheetId="0" hidden="1">0.000001</definedName>
    <definedName name="solver_pre" localSheetId="5" hidden="1">0.000001</definedName>
    <definedName name="solver_pre" localSheetId="2" hidden="1">0.000001</definedName>
    <definedName name="solver_pre" localSheetId="4" hidden="1">0.000001</definedName>
    <definedName name="solver_pre" localSheetId="3" hidden="1">0.000001</definedName>
    <definedName name="solver_pre" localSheetId="1" hidden="1">0.000001</definedName>
    <definedName name="solver_rel1" localSheetId="0" hidden="1">2</definedName>
    <definedName name="solver_rel1" localSheetId="5" hidden="1">2</definedName>
    <definedName name="solver_rel1" localSheetId="2" hidden="1">2</definedName>
    <definedName name="solver_rel1" localSheetId="4" hidden="1">2</definedName>
    <definedName name="solver_rel1" localSheetId="3" hidden="1">2</definedName>
    <definedName name="solver_rel1" localSheetId="1" hidden="1">2</definedName>
    <definedName name="solver_rhs1" localSheetId="0" hidden="1">0</definedName>
    <definedName name="solver_rhs1" localSheetId="5" hidden="1">0</definedName>
    <definedName name="solver_rhs1" localSheetId="2" hidden="1">0</definedName>
    <definedName name="solver_rhs1" localSheetId="4" hidden="1">0</definedName>
    <definedName name="solver_rhs1" localSheetId="3" hidden="1">0</definedName>
    <definedName name="solver_rhs1" localSheetId="1" hidden="1">0</definedName>
    <definedName name="solver_scl" localSheetId="0" hidden="1">2</definedName>
    <definedName name="solver_scl" localSheetId="5" hidden="1">2</definedName>
    <definedName name="solver_scl" localSheetId="2" hidden="1">2</definedName>
    <definedName name="solver_scl" localSheetId="4" hidden="1">2</definedName>
    <definedName name="solver_scl" localSheetId="3" hidden="1">2</definedName>
    <definedName name="solver_scl" localSheetId="1" hidden="1">2</definedName>
    <definedName name="solver_sho" localSheetId="0" hidden="1">2</definedName>
    <definedName name="solver_sho" localSheetId="5" hidden="1">2</definedName>
    <definedName name="solver_sho" localSheetId="2" hidden="1">2</definedName>
    <definedName name="solver_sho" localSheetId="4" hidden="1">2</definedName>
    <definedName name="solver_sho" localSheetId="3" hidden="1">2</definedName>
    <definedName name="solver_sho" localSheetId="1" hidden="1">2</definedName>
    <definedName name="solver_tim" localSheetId="0" hidden="1">100</definedName>
    <definedName name="solver_tim" localSheetId="5" hidden="1">100</definedName>
    <definedName name="solver_tim" localSheetId="2" hidden="1">100</definedName>
    <definedName name="solver_tim" localSheetId="4" hidden="1">100</definedName>
    <definedName name="solver_tim" localSheetId="3" hidden="1">100</definedName>
    <definedName name="solver_tim" localSheetId="1" hidden="1">100</definedName>
    <definedName name="solver_tol" localSheetId="0" hidden="1">0.05</definedName>
    <definedName name="solver_tol" localSheetId="5" hidden="1">0.05</definedName>
    <definedName name="solver_tol" localSheetId="2" hidden="1">0.05</definedName>
    <definedName name="solver_tol" localSheetId="4" hidden="1">0.05</definedName>
    <definedName name="solver_tol" localSheetId="3" hidden="1">0.05</definedName>
    <definedName name="solver_tol" localSheetId="1" hidden="1">0.05</definedName>
    <definedName name="solver_typ" localSheetId="0" hidden="1">3</definedName>
    <definedName name="solver_typ" localSheetId="5" hidden="1">3</definedName>
    <definedName name="solver_typ" localSheetId="2" hidden="1">3</definedName>
    <definedName name="solver_typ" localSheetId="4" hidden="1">3</definedName>
    <definedName name="solver_typ" localSheetId="3" hidden="1">3</definedName>
    <definedName name="solver_typ" localSheetId="1" hidden="1">3</definedName>
    <definedName name="solver_val" localSheetId="0" hidden="1">855969600</definedName>
    <definedName name="solver_val" localSheetId="5" hidden="1">855969600</definedName>
    <definedName name="solver_val" localSheetId="2" hidden="1">855969600</definedName>
    <definedName name="solver_val" localSheetId="4" hidden="1">855969600</definedName>
    <definedName name="solver_val" localSheetId="3" hidden="1">855969600</definedName>
    <definedName name="solver_val" localSheetId="1" hidden="1">855969600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8" l="1"/>
  <c r="F15" i="8"/>
  <c r="F14" i="8"/>
  <c r="F13" i="8"/>
  <c r="F8" i="8"/>
  <c r="F9" i="8"/>
  <c r="F10" i="8"/>
  <c r="F11" i="8"/>
  <c r="F7" i="8"/>
  <c r="F18" i="7"/>
  <c r="F14" i="7"/>
  <c r="F15" i="7"/>
  <c r="F13" i="7"/>
  <c r="F8" i="7"/>
  <c r="F9" i="7"/>
  <c r="F10" i="7"/>
  <c r="F11" i="7"/>
  <c r="F7" i="7"/>
  <c r="F14" i="5"/>
  <c r="F15" i="5"/>
  <c r="F13" i="5"/>
  <c r="F8" i="5"/>
  <c r="F9" i="5"/>
  <c r="F10" i="5"/>
  <c r="F11" i="5"/>
  <c r="F7" i="5"/>
  <c r="F14" i="3"/>
  <c r="F15" i="3"/>
  <c r="F13" i="3"/>
  <c r="F8" i="3"/>
  <c r="F9" i="3"/>
  <c r="F10" i="3"/>
  <c r="F11" i="3"/>
  <c r="F7" i="3"/>
  <c r="F14" i="6"/>
  <c r="F13" i="6"/>
  <c r="F8" i="6"/>
  <c r="F9" i="6"/>
  <c r="F10" i="6"/>
  <c r="F11" i="6"/>
  <c r="F16" i="9"/>
  <c r="F20" i="9"/>
  <c r="F17" i="9"/>
  <c r="F18" i="9"/>
  <c r="F14" i="9"/>
  <c r="C20" i="9"/>
  <c r="C14" i="9"/>
  <c r="C17" i="9"/>
  <c r="C18" i="9"/>
  <c r="C16" i="9"/>
  <c r="F9" i="9"/>
  <c r="F7" i="9"/>
  <c r="F22" i="3"/>
  <c r="F40" i="3"/>
  <c r="F42" i="3"/>
  <c r="F41" i="3"/>
  <c r="F43" i="3"/>
  <c r="F44" i="3"/>
  <c r="F23" i="3"/>
  <c r="F16" i="3"/>
  <c r="F17" i="3"/>
  <c r="F47" i="3"/>
  <c r="F49" i="3"/>
  <c r="F48" i="3"/>
  <c r="F50" i="3"/>
  <c r="F51" i="3"/>
  <c r="F24" i="3"/>
  <c r="F25" i="3"/>
  <c r="F26" i="3"/>
  <c r="F20" i="6"/>
  <c r="F7" i="6"/>
  <c r="F36" i="6"/>
  <c r="F38" i="6"/>
  <c r="F37" i="6"/>
  <c r="F39" i="6"/>
  <c r="F40" i="6"/>
  <c r="F21" i="6"/>
  <c r="F22" i="6"/>
  <c r="F26" i="6"/>
  <c r="F27" i="6"/>
  <c r="F23" i="6"/>
  <c r="F26" i="8"/>
  <c r="F44" i="8"/>
  <c r="F46" i="8"/>
  <c r="F45" i="8"/>
  <c r="F47" i="8"/>
  <c r="F48" i="8"/>
  <c r="F16" i="8"/>
  <c r="F27" i="8"/>
  <c r="F19" i="8"/>
  <c r="F51" i="8"/>
  <c r="F53" i="8"/>
  <c r="F52" i="8"/>
  <c r="F54" i="8"/>
  <c r="F55" i="8"/>
  <c r="F28" i="8"/>
  <c r="F20" i="8"/>
  <c r="F58" i="8"/>
  <c r="F60" i="8"/>
  <c r="F59" i="8"/>
  <c r="F61" i="8"/>
  <c r="F62" i="8"/>
  <c r="F29" i="8"/>
  <c r="F30" i="8"/>
  <c r="F31" i="8"/>
  <c r="C16" i="8"/>
  <c r="C20" i="8"/>
  <c r="C58" i="8"/>
  <c r="C59" i="8"/>
  <c r="C61" i="8"/>
  <c r="C60" i="8"/>
  <c r="C62" i="8"/>
  <c r="F34" i="8"/>
  <c r="F35" i="8"/>
  <c r="C44" i="8"/>
  <c r="C46" i="8"/>
  <c r="C45" i="8"/>
  <c r="C47" i="8"/>
  <c r="C48" i="8"/>
  <c r="C27" i="8"/>
  <c r="C19" i="8"/>
  <c r="C51" i="8"/>
  <c r="C53" i="8"/>
  <c r="C52" i="8"/>
  <c r="C54" i="8"/>
  <c r="C55" i="8"/>
  <c r="C28" i="8"/>
  <c r="C29" i="8"/>
  <c r="C26" i="8"/>
  <c r="C30" i="8"/>
  <c r="C34" i="8"/>
  <c r="C35" i="8"/>
  <c r="C31" i="8"/>
  <c r="F42" i="7"/>
  <c r="F44" i="7"/>
  <c r="F43" i="7"/>
  <c r="F45" i="7"/>
  <c r="F46" i="7"/>
  <c r="F16" i="7"/>
  <c r="F26" i="7"/>
  <c r="F19" i="7"/>
  <c r="F49" i="7"/>
  <c r="F51" i="7"/>
  <c r="F50" i="7"/>
  <c r="F52" i="7"/>
  <c r="F53" i="7"/>
  <c r="F27" i="7"/>
  <c r="F25" i="7"/>
  <c r="F28" i="7"/>
  <c r="C42" i="7"/>
  <c r="C44" i="7"/>
  <c r="C43" i="7"/>
  <c r="C45" i="7"/>
  <c r="C46" i="7"/>
  <c r="C16" i="7"/>
  <c r="C26" i="7"/>
  <c r="C19" i="7"/>
  <c r="C49" i="7"/>
  <c r="C51" i="7"/>
  <c r="C50" i="7"/>
  <c r="C52" i="7"/>
  <c r="C53" i="7"/>
  <c r="C27" i="7"/>
  <c r="C25" i="7"/>
  <c r="C28" i="7"/>
  <c r="F32" i="7"/>
  <c r="F33" i="7"/>
  <c r="F29" i="7"/>
  <c r="C32" i="7"/>
  <c r="C33" i="7"/>
  <c r="C29" i="7"/>
  <c r="F22" i="5"/>
  <c r="F38" i="5"/>
  <c r="F40" i="5"/>
  <c r="F39" i="5"/>
  <c r="F41" i="5"/>
  <c r="F42" i="5"/>
  <c r="F16" i="5"/>
  <c r="F23" i="5"/>
  <c r="F24" i="5"/>
  <c r="F28" i="5"/>
  <c r="F29" i="5"/>
  <c r="F25" i="5"/>
  <c r="C16" i="5"/>
  <c r="C22" i="5"/>
  <c r="C38" i="5"/>
  <c r="C40" i="5"/>
  <c r="C39" i="5"/>
  <c r="C41" i="5"/>
  <c r="C42" i="5"/>
  <c r="C23" i="5"/>
  <c r="C24" i="5"/>
  <c r="C28" i="5"/>
  <c r="C29" i="5"/>
  <c r="C25" i="5"/>
  <c r="F29" i="3"/>
  <c r="F30" i="3"/>
  <c r="C16" i="3"/>
  <c r="C17" i="3"/>
  <c r="C47" i="3"/>
  <c r="C49" i="3"/>
  <c r="C48" i="3"/>
  <c r="C50" i="3"/>
  <c r="C51" i="3"/>
  <c r="C24" i="3"/>
  <c r="C22" i="3"/>
  <c r="C40" i="3"/>
  <c r="C42" i="3"/>
  <c r="C41" i="3"/>
  <c r="C43" i="3"/>
  <c r="C44" i="3"/>
  <c r="C23" i="3"/>
  <c r="C25" i="3"/>
  <c r="C29" i="3"/>
  <c r="C30" i="3"/>
  <c r="C26" i="3"/>
  <c r="C20" i="6"/>
  <c r="C36" i="6"/>
  <c r="C38" i="6"/>
  <c r="C37" i="6"/>
  <c r="C39" i="6"/>
  <c r="C40" i="6"/>
  <c r="C21" i="6"/>
  <c r="C22" i="6"/>
  <c r="C26" i="6"/>
  <c r="C27" i="6"/>
  <c r="C23" i="6"/>
</calcChain>
</file>

<file path=xl/sharedStrings.xml><?xml version="1.0" encoding="utf-8"?>
<sst xmlns="http://schemas.openxmlformats.org/spreadsheetml/2006/main" count="345" uniqueCount="71">
  <si>
    <t>Time to maturity</t>
  </si>
  <si>
    <t>d1</t>
  </si>
  <si>
    <t>d2</t>
  </si>
  <si>
    <t>N(d1)</t>
  </si>
  <si>
    <t>N(d2)</t>
  </si>
  <si>
    <t>Call value</t>
  </si>
  <si>
    <t>Dividend yield (discrete compounding)</t>
  </si>
  <si>
    <t>Volatility</t>
  </si>
  <si>
    <t xml:space="preserve">   Asset long</t>
  </si>
  <si>
    <t xml:space="preserve">   Call short</t>
  </si>
  <si>
    <t>Replicating Portfolio Convertible Preferred</t>
  </si>
  <si>
    <t>Post-money valuation</t>
  </si>
  <si>
    <t>Risk-free rate of return (discrete compounding)</t>
  </si>
  <si>
    <t>VC's Liquidation Preference</t>
  </si>
  <si>
    <t>Number of Shares of Common Equity (incl. Reserved Shares)</t>
  </si>
  <si>
    <t>Number of Shares of Straight Preferred to be issued</t>
  </si>
  <si>
    <t>Replicating Portfolio Straight Preferred</t>
  </si>
  <si>
    <t>Deal Valuation (VC's Perspective)</t>
  </si>
  <si>
    <t>VC's Assumptions</t>
  </si>
  <si>
    <t>Entrepreneur's Assumptions</t>
  </si>
  <si>
    <t>Deal Valuation (Entrepreneur's Perspective)</t>
  </si>
  <si>
    <t>Calculations</t>
  </si>
  <si>
    <t>Conversion Ratio (Common per Preferred)</t>
  </si>
  <si>
    <t>VC's Post-Conversion Ownership Stake</t>
  </si>
  <si>
    <t xml:space="preserve">    Asset long</t>
  </si>
  <si>
    <t xml:space="preserve">    Call 1 short (end liquidation preference)</t>
  </si>
  <si>
    <t xml:space="preserve">    Call 2 long (value of conversion option)</t>
  </si>
  <si>
    <t>Call 1( End of liquidation preference)</t>
  </si>
  <si>
    <t>Call 2 (Conversion option)</t>
  </si>
  <si>
    <t>Conversion Value (Strike of Conversion Option)</t>
  </si>
  <si>
    <t xml:space="preserve">VC's Pro-Rata Share in Additional Liquidation Proceeds </t>
  </si>
  <si>
    <t>Call 1: Participation granted to Entrepreneur</t>
  </si>
  <si>
    <t>Replicating Portfolio Participating Preferred</t>
  </si>
  <si>
    <t>Conversion Ratio for Participation (Common per Preferred)</t>
  </si>
  <si>
    <t>Cap on Participation</t>
  </si>
  <si>
    <t xml:space="preserve">   Call short (End Liquidation Preference)</t>
  </si>
  <si>
    <t xml:space="preserve">   Call short (Cap on Participation)</t>
  </si>
  <si>
    <t>Cap Reached at Value</t>
  </si>
  <si>
    <t>Call 2: Cap of Participation</t>
  </si>
  <si>
    <t>Conversion Price VC</t>
  </si>
  <si>
    <t>Call 3: Conversion Option</t>
  </si>
  <si>
    <t xml:space="preserve">   Call long (Conversion Option)</t>
  </si>
  <si>
    <t>Replicating Portfolio Convertible Participating Preferred</t>
  </si>
  <si>
    <t>Replicating Portfolio Participating Preferred (with Cap)</t>
  </si>
  <si>
    <t>Fair Value of Participating Preferred with Cap</t>
  </si>
  <si>
    <t>Fair Issue Price per Share of Participating Preferred with Cap</t>
  </si>
  <si>
    <t>Fair Value of Common Equity</t>
  </si>
  <si>
    <t>Fair Value per Share of Common Equity</t>
  </si>
  <si>
    <t>Fair Value of Convertible Participating Preferred</t>
  </si>
  <si>
    <t>Fair Issue Price per Share of Convertible Participating Preferred</t>
  </si>
  <si>
    <t>Fair Value of Participating Preferred</t>
  </si>
  <si>
    <t>Fair Issue Price per Share of Straight Preferred</t>
  </si>
  <si>
    <t>Fair Value of Straight Preferred</t>
  </si>
  <si>
    <t>Call option: End of Liquidation Preference</t>
  </si>
  <si>
    <t>Fair Value of Convertible Preferred</t>
  </si>
  <si>
    <t>Fair Issue Price per Share of Convertible Preferred</t>
  </si>
  <si>
    <t>VALUATION OF CONVERTIBLE PARTICIPATING PREFERRED (WITH CAP)</t>
  </si>
  <si>
    <t>VALUATION OF PARTICIPATING PREFERRED (WITH CAP)</t>
  </si>
  <si>
    <t>VALUATION OF PARTICIPATING PREFERRED (FULL PARTICIPATION)</t>
  </si>
  <si>
    <t>VALUATION OF CONVERTIBLE PREFERRED</t>
  </si>
  <si>
    <t>VALUATION OF STRAIGHT PREFERRED</t>
  </si>
  <si>
    <t>Capital provided by VC</t>
  </si>
  <si>
    <t>Pre-Deal Number of Shares of Common Equity (incl. Reserved Shares)</t>
  </si>
  <si>
    <t>Fair Ownership Stake VC</t>
  </si>
  <si>
    <t>Number of New Shares of Common Stock to VC</t>
  </si>
  <si>
    <t>Fair Issue Price Per Share of Common Stock</t>
  </si>
  <si>
    <t>Fair Pre-Money Valuation</t>
  </si>
  <si>
    <t>Fair Ownership Stake Entrepreneur</t>
  </si>
  <si>
    <t>DEAL STRUCTURE WITH COMMON EQUITY</t>
  </si>
  <si>
    <t>Number of Shares of Convertible Preferred to be issued</t>
  </si>
  <si>
    <t>Number of Shares of Participating Preferred to be issued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</si>
</sst>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000"/>
    <numFmt numFmtId="165" formatCode="#,##0.0"/>
    <numFmt numFmtId="171" formatCode="0.0%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1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1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1"/>
    <xf numFmtId="10" fontId="4" fillId="3" borderId="1" xfId="3" applyNumberFormat="1" applyFont="1" applyFill="1" applyBorder="1"/>
    <xf numFmtId="0" fontId="4" fillId="0" borderId="1" xfId="1" applyFont="1" applyBorder="1"/>
    <xf numFmtId="0" fontId="4" fillId="2" borderId="1" xfId="0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165" fontId="4" fillId="0" borderId="1" xfId="1" applyNumberFormat="1" applyFont="1" applyBorder="1"/>
    <xf numFmtId="4" fontId="4" fillId="0" borderId="1" xfId="1" applyNumberFormat="1" applyFont="1" applyBorder="1"/>
    <xf numFmtId="0" fontId="4" fillId="0" borderId="0" xfId="1" applyFont="1" applyBorder="1"/>
    <xf numFmtId="0" fontId="2" fillId="0" borderId="1" xfId="1" applyFont="1" applyBorder="1"/>
    <xf numFmtId="165" fontId="3" fillId="0" borderId="1" xfId="1" applyNumberFormat="1" applyBorder="1"/>
    <xf numFmtId="4" fontId="3" fillId="0" borderId="1" xfId="1" applyNumberFormat="1" applyBorder="1"/>
    <xf numFmtId="2" fontId="3" fillId="0" borderId="1" xfId="1" applyNumberFormat="1" applyBorder="1"/>
    <xf numFmtId="0" fontId="4" fillId="4" borderId="1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3" fillId="0" borderId="0" xfId="1" applyFill="1" applyBorder="1"/>
    <xf numFmtId="0" fontId="4" fillId="5" borderId="1" xfId="1" applyFont="1" applyFill="1" applyBorder="1"/>
    <xf numFmtId="165" fontId="4" fillId="5" borderId="1" xfId="1" applyNumberFormat="1" applyFont="1" applyFill="1" applyBorder="1"/>
    <xf numFmtId="4" fontId="4" fillId="5" borderId="1" xfId="1" applyNumberFormat="1" applyFont="1" applyFill="1" applyBorder="1"/>
    <xf numFmtId="0" fontId="4" fillId="0" borderId="1" xfId="1" applyFont="1" applyBorder="1" applyAlignment="1">
      <alignment horizontal="center"/>
    </xf>
    <xf numFmtId="171" fontId="4" fillId="5" borderId="1" xfId="42" applyNumberFormat="1" applyFont="1" applyFill="1" applyBorder="1"/>
    <xf numFmtId="0" fontId="3" fillId="0" borderId="0" xfId="1" applyFill="1"/>
    <xf numFmtId="0" fontId="4" fillId="0" borderId="0" xfId="1" applyFont="1" applyFill="1" applyBorder="1"/>
    <xf numFmtId="0" fontId="0" fillId="0" borderId="0" xfId="0" applyFill="1" applyBorder="1"/>
    <xf numFmtId="165" fontId="8" fillId="5" borderId="1" xfId="0" applyNumberFormat="1" applyFont="1" applyFill="1" applyBorder="1"/>
    <xf numFmtId="2" fontId="8" fillId="5" borderId="1" xfId="0" applyNumberFormat="1" applyFont="1" applyFill="1" applyBorder="1"/>
    <xf numFmtId="4" fontId="4" fillId="5" borderId="1" xfId="0" applyNumberFormat="1" applyFont="1" applyFill="1" applyBorder="1"/>
    <xf numFmtId="0" fontId="4" fillId="6" borderId="0" xfId="1" applyFont="1" applyFill="1" applyBorder="1"/>
    <xf numFmtId="0" fontId="0" fillId="6" borderId="0" xfId="0" applyFill="1" applyBorder="1"/>
    <xf numFmtId="0" fontId="3" fillId="6" borderId="0" xfId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3" fillId="6" borderId="0" xfId="1" applyFill="1"/>
    <xf numFmtId="0" fontId="4" fillId="6" borderId="1" xfId="1" applyFont="1" applyFill="1" applyBorder="1"/>
    <xf numFmtId="4" fontId="4" fillId="6" borderId="1" xfId="0" applyNumberFormat="1" applyFont="1" applyFill="1" applyBorder="1"/>
    <xf numFmtId="0" fontId="4" fillId="6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6" borderId="0" xfId="0" applyFont="1" applyFill="1" applyBorder="1"/>
    <xf numFmtId="0" fontId="4" fillId="0" borderId="0" xfId="0" applyFont="1" applyFill="1" applyBorder="1"/>
    <xf numFmtId="171" fontId="4" fillId="0" borderId="0" xfId="42" applyNumberFormat="1" applyFont="1" applyFill="1" applyBorder="1"/>
    <xf numFmtId="165" fontId="9" fillId="7" borderId="1" xfId="0" applyNumberFormat="1" applyFont="1" applyFill="1" applyBorder="1"/>
    <xf numFmtId="165" fontId="9" fillId="7" borderId="2" xfId="0" applyNumberFormat="1" applyFont="1" applyFill="1" applyBorder="1"/>
    <xf numFmtId="10" fontId="9" fillId="7" borderId="2" xfId="0" applyNumberFormat="1" applyFont="1" applyFill="1" applyBorder="1"/>
    <xf numFmtId="0" fontId="9" fillId="7" borderId="2" xfId="0" applyFont="1" applyFill="1" applyBorder="1"/>
    <xf numFmtId="0" fontId="4" fillId="0" borderId="1" xfId="0" applyFont="1" applyFill="1" applyBorder="1"/>
    <xf numFmtId="165" fontId="4" fillId="5" borderId="1" xfId="0" applyNumberFormat="1" applyFont="1" applyFill="1" applyBorder="1"/>
    <xf numFmtId="0" fontId="2" fillId="6" borderId="1" xfId="1" applyFont="1" applyFill="1" applyBorder="1" applyAlignment="1">
      <alignment horizontal="center"/>
    </xf>
    <xf numFmtId="0" fontId="3" fillId="6" borderId="1" xfId="1" applyFill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0" borderId="8" xfId="1" applyFont="1" applyBorder="1"/>
    <xf numFmtId="2" fontId="4" fillId="5" borderId="8" xfId="1" applyNumberFormat="1" applyFont="1" applyFill="1" applyBorder="1"/>
    <xf numFmtId="171" fontId="4" fillId="5" borderId="8" xfId="42" applyNumberFormat="1" applyFont="1" applyFill="1" applyBorder="1"/>
  </cellXfs>
  <cellStyles count="111">
    <cellStyle name="Comma 2" xfId="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Normal" xfId="0" builtinId="0"/>
    <cellStyle name="Normal 2" xfId="1"/>
    <cellStyle name="Percent" xfId="42" builtinId="5"/>
    <cellStyle name="Percent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F20"/>
  <sheetViews>
    <sheetView tabSelected="1" workbookViewId="0">
      <selection activeCell="D30" sqref="D30"/>
    </sheetView>
  </sheetViews>
  <sheetFormatPr baseColWidth="10" defaultColWidth="8.83203125" defaultRowHeight="15" x14ac:dyDescent="0.2"/>
  <cols>
    <col min="1" max="1" width="8.83203125" style="1"/>
    <col min="2" max="2" width="53.83203125" style="1" bestFit="1" customWidth="1"/>
    <col min="3" max="3" width="10.6640625" style="1" customWidth="1"/>
    <col min="4" max="4" width="10.1640625" style="1" customWidth="1"/>
    <col min="5" max="5" width="53.83203125" style="1" bestFit="1" customWidth="1"/>
    <col min="6" max="6" width="14.83203125" style="1" customWidth="1"/>
    <col min="7" max="7" width="9.33203125" style="1" bestFit="1" customWidth="1"/>
    <col min="8" max="8" width="8.83203125" style="1"/>
    <col min="9" max="10" width="9.33203125" style="1" bestFit="1" customWidth="1"/>
    <col min="11" max="244" width="8.83203125" style="1"/>
    <col min="245" max="245" width="10.5" style="1" customWidth="1"/>
    <col min="246" max="246" width="16.33203125" style="1" customWidth="1"/>
    <col min="247" max="247" width="10.33203125" style="1" bestFit="1" customWidth="1"/>
    <col min="248" max="248" width="13.33203125" style="1" customWidth="1"/>
    <col min="249" max="250" width="9.5" style="1" bestFit="1" customWidth="1"/>
    <col min="251" max="16384" width="8.83203125" style="1"/>
  </cols>
  <sheetData>
    <row r="2" spans="2:6" x14ac:dyDescent="0.2">
      <c r="B2" s="50" t="s">
        <v>68</v>
      </c>
      <c r="C2" s="51"/>
      <c r="D2" s="51"/>
      <c r="E2" s="51"/>
      <c r="F2" s="52"/>
    </row>
    <row r="4" spans="2:6" x14ac:dyDescent="0.2">
      <c r="B4" s="53" t="s">
        <v>18</v>
      </c>
      <c r="C4" s="54"/>
      <c r="E4" s="53" t="s">
        <v>19</v>
      </c>
      <c r="F4" s="54"/>
    </row>
    <row r="6" spans="2:6" x14ac:dyDescent="0.2">
      <c r="B6" s="4" t="s">
        <v>11</v>
      </c>
      <c r="C6" s="6">
        <v>15</v>
      </c>
      <c r="E6" s="4" t="s">
        <v>11</v>
      </c>
      <c r="F6" s="6">
        <v>30</v>
      </c>
    </row>
    <row r="7" spans="2:6" x14ac:dyDescent="0.2">
      <c r="B7" s="4" t="s">
        <v>61</v>
      </c>
      <c r="C7" s="6">
        <v>10</v>
      </c>
      <c r="E7" s="4" t="s">
        <v>13</v>
      </c>
      <c r="F7" s="6">
        <f>C7</f>
        <v>10</v>
      </c>
    </row>
    <row r="8" spans="2:6" ht="16" x14ac:dyDescent="0.2">
      <c r="B8"/>
      <c r="C8"/>
    </row>
    <row r="9" spans="2:6" x14ac:dyDescent="0.2">
      <c r="B9" s="4" t="s">
        <v>62</v>
      </c>
      <c r="C9" s="6">
        <v>15</v>
      </c>
      <c r="E9" s="4" t="s">
        <v>62</v>
      </c>
      <c r="F9" s="6">
        <f>C9</f>
        <v>15</v>
      </c>
    </row>
    <row r="12" spans="2:6" x14ac:dyDescent="0.2">
      <c r="B12" s="14" t="s">
        <v>17</v>
      </c>
      <c r="C12" s="14"/>
      <c r="E12" s="14" t="s">
        <v>20</v>
      </c>
      <c r="F12" s="14"/>
    </row>
    <row r="13" spans="2:6" x14ac:dyDescent="0.2">
      <c r="B13" s="9"/>
      <c r="C13" s="9"/>
    </row>
    <row r="14" spans="2:6" x14ac:dyDescent="0.2">
      <c r="B14" s="55" t="s">
        <v>66</v>
      </c>
      <c r="C14" s="56">
        <f>C6-C7</f>
        <v>5</v>
      </c>
      <c r="E14" s="55" t="s">
        <v>66</v>
      </c>
      <c r="F14" s="56">
        <f>F6-F7</f>
        <v>20</v>
      </c>
    </row>
    <row r="16" spans="2:6" x14ac:dyDescent="0.2">
      <c r="B16" s="55" t="s">
        <v>63</v>
      </c>
      <c r="C16" s="57">
        <f>C7/C6</f>
        <v>0.66666666666666663</v>
      </c>
      <c r="E16" s="55" t="s">
        <v>63</v>
      </c>
      <c r="F16" s="57">
        <f>F7/F6</f>
        <v>0.33333333333333331</v>
      </c>
    </row>
    <row r="17" spans="2:6" x14ac:dyDescent="0.2">
      <c r="B17" s="55" t="s">
        <v>64</v>
      </c>
      <c r="C17" s="56">
        <f>C9/(1-C16)*C16</f>
        <v>29.999999999999993</v>
      </c>
      <c r="E17" s="55" t="s">
        <v>64</v>
      </c>
      <c r="F17" s="56">
        <f>F9/(1-F16)*F16</f>
        <v>7.4999999999999982</v>
      </c>
    </row>
    <row r="18" spans="2:6" x14ac:dyDescent="0.2">
      <c r="B18" s="55" t="s">
        <v>65</v>
      </c>
      <c r="C18" s="56">
        <f>C7/C17</f>
        <v>0.33333333333333343</v>
      </c>
      <c r="E18" s="55" t="s">
        <v>65</v>
      </c>
      <c r="F18" s="56">
        <f>F7/F17</f>
        <v>1.3333333333333337</v>
      </c>
    </row>
    <row r="20" spans="2:6" x14ac:dyDescent="0.2">
      <c r="B20" s="55" t="s">
        <v>67</v>
      </c>
      <c r="C20" s="57">
        <f>1-C16</f>
        <v>0.33333333333333337</v>
      </c>
      <c r="E20" s="55" t="s">
        <v>67</v>
      </c>
      <c r="F20" s="57">
        <f>1-F16</f>
        <v>0.66666666666666674</v>
      </c>
    </row>
  </sheetData>
  <mergeCells count="5">
    <mergeCell ref="B2:F2"/>
    <mergeCell ref="B4:C4"/>
    <mergeCell ref="E4:F4"/>
    <mergeCell ref="B12:C12"/>
    <mergeCell ref="E12:F12"/>
  </mergeCells>
  <phoneticPr fontId="11" type="noConversion"/>
  <pageMargins left="0.7" right="0.7" top="0.75" bottom="0.75" header="0.3" footer="0.3"/>
  <pageSetup paperSize="9" scale="57" orientation="portrait" r:id="rId1"/>
  <headerFooter>
    <oddFooter>&amp;L&amp;"Calibri,Regular"&amp;K000000copyright tebu finance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F40"/>
  <sheetViews>
    <sheetView workbookViewId="0">
      <selection activeCell="C22" sqref="C22"/>
    </sheetView>
  </sheetViews>
  <sheetFormatPr baseColWidth="10" defaultColWidth="8.83203125" defaultRowHeight="15" x14ac:dyDescent="0.2"/>
  <cols>
    <col min="1" max="1" width="8.83203125" style="1"/>
    <col min="2" max="2" width="53.1640625" style="1" customWidth="1"/>
    <col min="3" max="3" width="10.6640625" style="1" customWidth="1"/>
    <col min="4" max="4" width="17.6640625" style="1" customWidth="1"/>
    <col min="5" max="5" width="47" style="1" bestFit="1" customWidth="1"/>
    <col min="6" max="6" width="14.83203125" style="1" customWidth="1"/>
    <col min="7" max="7" width="9.33203125" style="1" bestFit="1" customWidth="1"/>
    <col min="8" max="8" width="8.83203125" style="1"/>
    <col min="9" max="10" width="9.33203125" style="1" bestFit="1" customWidth="1"/>
    <col min="11" max="244" width="8.83203125" style="1"/>
    <col min="245" max="245" width="10.5" style="1" customWidth="1"/>
    <col min="246" max="246" width="16.33203125" style="1" customWidth="1"/>
    <col min="247" max="247" width="10.33203125" style="1" bestFit="1" customWidth="1"/>
    <col min="248" max="248" width="13.33203125" style="1" customWidth="1"/>
    <col min="249" max="250" width="9.5" style="1" bestFit="1" customWidth="1"/>
    <col min="251" max="16384" width="8.83203125" style="1"/>
  </cols>
  <sheetData>
    <row r="2" spans="2:6" x14ac:dyDescent="0.2">
      <c r="B2" s="50" t="s">
        <v>60</v>
      </c>
      <c r="C2" s="51"/>
      <c r="D2" s="51"/>
      <c r="E2" s="51"/>
      <c r="F2" s="52"/>
    </row>
    <row r="4" spans="2:6" x14ac:dyDescent="0.2">
      <c r="B4" s="53" t="s">
        <v>18</v>
      </c>
      <c r="C4" s="54"/>
      <c r="E4" s="53" t="s">
        <v>19</v>
      </c>
      <c r="F4" s="54"/>
    </row>
    <row r="6" spans="2:6" x14ac:dyDescent="0.2">
      <c r="B6" s="4" t="s">
        <v>11</v>
      </c>
      <c r="C6" s="6">
        <v>15</v>
      </c>
      <c r="E6" s="4" t="s">
        <v>11</v>
      </c>
      <c r="F6" s="6">
        <v>30</v>
      </c>
    </row>
    <row r="7" spans="2:6" x14ac:dyDescent="0.2">
      <c r="B7" s="4" t="s">
        <v>13</v>
      </c>
      <c r="C7" s="6">
        <v>17.100000000000001</v>
      </c>
      <c r="E7" s="4" t="s">
        <v>13</v>
      </c>
      <c r="F7" s="6">
        <f>C7</f>
        <v>17.100000000000001</v>
      </c>
    </row>
    <row r="8" spans="2:6" x14ac:dyDescent="0.2">
      <c r="B8" s="4" t="s">
        <v>12</v>
      </c>
      <c r="C8" s="2">
        <v>0.05</v>
      </c>
      <c r="E8" s="4" t="s">
        <v>12</v>
      </c>
      <c r="F8" s="2">
        <f t="shared" ref="F8:F11" si="0">C8</f>
        <v>0.05</v>
      </c>
    </row>
    <row r="9" spans="2:6" x14ac:dyDescent="0.2">
      <c r="B9" s="4" t="s">
        <v>6</v>
      </c>
      <c r="C9" s="2">
        <v>0</v>
      </c>
      <c r="E9" s="4" t="s">
        <v>6</v>
      </c>
      <c r="F9" s="2">
        <f t="shared" si="0"/>
        <v>0</v>
      </c>
    </row>
    <row r="10" spans="2:6" x14ac:dyDescent="0.2">
      <c r="B10" s="4" t="s">
        <v>0</v>
      </c>
      <c r="C10" s="5">
        <v>4</v>
      </c>
      <c r="E10" s="4" t="s">
        <v>0</v>
      </c>
      <c r="F10" s="5">
        <f t="shared" si="0"/>
        <v>4</v>
      </c>
    </row>
    <row r="11" spans="2:6" x14ac:dyDescent="0.2">
      <c r="B11" s="4" t="s">
        <v>7</v>
      </c>
      <c r="C11" s="2">
        <v>0.4</v>
      </c>
      <c r="E11" s="4" t="s">
        <v>7</v>
      </c>
      <c r="F11" s="2">
        <f t="shared" si="0"/>
        <v>0.4</v>
      </c>
    </row>
    <row r="12" spans="2:6" ht="16" x14ac:dyDescent="0.2">
      <c r="B12"/>
      <c r="C12"/>
      <c r="F12"/>
    </row>
    <row r="13" spans="2:6" x14ac:dyDescent="0.2">
      <c r="B13" s="4" t="s">
        <v>15</v>
      </c>
      <c r="C13" s="6">
        <v>10</v>
      </c>
      <c r="E13" s="4" t="s">
        <v>15</v>
      </c>
      <c r="F13" s="6">
        <f>C13</f>
        <v>10</v>
      </c>
    </row>
    <row r="14" spans="2:6" x14ac:dyDescent="0.2">
      <c r="B14" s="4" t="s">
        <v>14</v>
      </c>
      <c r="C14" s="6">
        <v>15</v>
      </c>
      <c r="E14" s="4" t="s">
        <v>14</v>
      </c>
      <c r="F14" s="6">
        <f>C14</f>
        <v>15</v>
      </c>
    </row>
    <row r="17" spans="2:6" x14ac:dyDescent="0.2">
      <c r="B17" s="14" t="s">
        <v>17</v>
      </c>
      <c r="C17" s="14"/>
      <c r="E17" s="14" t="s">
        <v>20</v>
      </c>
      <c r="F17" s="14"/>
    </row>
    <row r="18" spans="2:6" x14ac:dyDescent="0.2">
      <c r="B18" s="9"/>
      <c r="C18" s="9"/>
    </row>
    <row r="19" spans="2:6" x14ac:dyDescent="0.2">
      <c r="B19" s="53" t="s">
        <v>16</v>
      </c>
      <c r="C19" s="54"/>
      <c r="E19" s="53" t="s">
        <v>16</v>
      </c>
      <c r="F19" s="54"/>
    </row>
    <row r="20" spans="2:6" x14ac:dyDescent="0.2">
      <c r="B20" s="3" t="s">
        <v>8</v>
      </c>
      <c r="C20" s="7">
        <f>C6</f>
        <v>15</v>
      </c>
      <c r="E20" s="3" t="s">
        <v>8</v>
      </c>
      <c r="F20" s="7">
        <f>F6</f>
        <v>30</v>
      </c>
    </row>
    <row r="21" spans="2:6" x14ac:dyDescent="0.2">
      <c r="B21" s="3" t="s">
        <v>9</v>
      </c>
      <c r="C21" s="8">
        <f>-C40</f>
        <v>-4.9974718634824349</v>
      </c>
      <c r="E21" s="3" t="s">
        <v>9</v>
      </c>
      <c r="F21" s="8">
        <f>-F40</f>
        <v>-17.372666540014553</v>
      </c>
    </row>
    <row r="22" spans="2:6" x14ac:dyDescent="0.2">
      <c r="B22" s="18" t="s">
        <v>52</v>
      </c>
      <c r="C22" s="20">
        <f>C20+C21</f>
        <v>10.002528136517565</v>
      </c>
      <c r="E22" s="18" t="s">
        <v>52</v>
      </c>
      <c r="F22" s="19">
        <f>F20+F21</f>
        <v>12.627333459985447</v>
      </c>
    </row>
    <row r="23" spans="2:6" x14ac:dyDescent="0.2">
      <c r="B23" s="18" t="s">
        <v>51</v>
      </c>
      <c r="C23" s="20">
        <f>C22/C13</f>
        <v>1.0002528136517566</v>
      </c>
      <c r="E23" s="18" t="s">
        <v>51</v>
      </c>
      <c r="F23" s="20">
        <f>F22/F13</f>
        <v>1.2627333459985448</v>
      </c>
    </row>
    <row r="26" spans="2:6" x14ac:dyDescent="0.2">
      <c r="B26" s="18" t="s">
        <v>46</v>
      </c>
      <c r="C26" s="19">
        <f>C6-C22</f>
        <v>4.9974718634824349</v>
      </c>
      <c r="E26" s="18" t="s">
        <v>46</v>
      </c>
      <c r="F26" s="19">
        <f>F6-F22</f>
        <v>17.372666540014553</v>
      </c>
    </row>
    <row r="27" spans="2:6" x14ac:dyDescent="0.2">
      <c r="B27" s="18" t="s">
        <v>47</v>
      </c>
      <c r="C27" s="20">
        <f>C26/C14</f>
        <v>0.333164790898829</v>
      </c>
      <c r="E27" s="18" t="s">
        <v>47</v>
      </c>
      <c r="F27" s="20">
        <f>F26/F14</f>
        <v>1.1581777693343036</v>
      </c>
    </row>
    <row r="30" spans="2:6" ht="16" customHeight="1" x14ac:dyDescent="0.2"/>
    <row r="33" spans="2:6" x14ac:dyDescent="0.2">
      <c r="B33" s="37" t="s">
        <v>21</v>
      </c>
      <c r="C33" s="37"/>
      <c r="D33" s="37"/>
      <c r="E33" s="37"/>
      <c r="F33" s="37"/>
    </row>
    <row r="34" spans="2:6" x14ac:dyDescent="0.2">
      <c r="B34" s="31"/>
      <c r="C34" s="31"/>
      <c r="D34" s="31"/>
      <c r="E34" s="31"/>
      <c r="F34" s="31"/>
    </row>
    <row r="35" spans="2:6" x14ac:dyDescent="0.2">
      <c r="B35" s="48" t="s">
        <v>53</v>
      </c>
      <c r="C35" s="49"/>
      <c r="D35" s="31"/>
      <c r="E35" s="48" t="s">
        <v>53</v>
      </c>
      <c r="F35" s="49"/>
    </row>
    <row r="36" spans="2:6" ht="16" x14ac:dyDescent="0.2">
      <c r="B36" s="32" t="s">
        <v>1</v>
      </c>
      <c r="C36" s="33">
        <f>LN((C6*EXP(-LN(C9+1)*C10))/(C7*EXP(-LN(1+C8)*C10)))/(C11*SQRT(C10))+(C11*SQRT(C10))/2</f>
        <v>0.48016549283915516</v>
      </c>
      <c r="D36" s="31"/>
      <c r="E36" s="32" t="s">
        <v>1</v>
      </c>
      <c r="F36" s="33">
        <f>LN((F6*EXP(-LN(F9+1)*F10))/(F7*EXP(-LN(1+F8)*F10)))/(F11*SQRT(F10))+(F11*SQRT(F10))/2</f>
        <v>1.3465994685390867</v>
      </c>
    </row>
    <row r="37" spans="2:6" ht="16" x14ac:dyDescent="0.2">
      <c r="B37" s="32" t="s">
        <v>2</v>
      </c>
      <c r="C37" s="33">
        <f>C36-C11*SQRT(C10)</f>
        <v>-0.31983450716084488</v>
      </c>
      <c r="D37" s="31"/>
      <c r="E37" s="32" t="s">
        <v>2</v>
      </c>
      <c r="F37" s="33">
        <f>F36-F11*SQRT(F10)</f>
        <v>0.5465994685390867</v>
      </c>
    </row>
    <row r="38" spans="2:6" ht="16" x14ac:dyDescent="0.2">
      <c r="B38" s="32" t="s">
        <v>3</v>
      </c>
      <c r="C38" s="33">
        <f>NORMSDIST(C36)</f>
        <v>0.68444513923417749</v>
      </c>
      <c r="D38" s="31"/>
      <c r="E38" s="32" t="s">
        <v>3</v>
      </c>
      <c r="F38" s="33">
        <f>NORMSDIST(F36)</f>
        <v>0.91094536728667697</v>
      </c>
    </row>
    <row r="39" spans="2:6" ht="16" x14ac:dyDescent="0.2">
      <c r="B39" s="32" t="s">
        <v>4</v>
      </c>
      <c r="C39" s="33">
        <f>NORMSDIST(C37)</f>
        <v>0.37454689377525718</v>
      </c>
      <c r="D39" s="31"/>
      <c r="E39" s="32" t="s">
        <v>4</v>
      </c>
      <c r="F39" s="33">
        <f>NORMSDIST(F37)</f>
        <v>0.70767303285447247</v>
      </c>
    </row>
    <row r="40" spans="2:6" x14ac:dyDescent="0.2">
      <c r="B40" s="35" t="s">
        <v>5</v>
      </c>
      <c r="C40" s="36">
        <f>C6*EXP(-LN(1+C9)*C10)*C38-C7*EXP(-LN(1+C8)*C10)*C39</f>
        <v>4.9974718634824349</v>
      </c>
      <c r="D40" s="31"/>
      <c r="E40" s="35" t="s">
        <v>5</v>
      </c>
      <c r="F40" s="36">
        <f>F6*EXP(-LN(1+F9)*F10)*F38-F7*EXP(-LN(1+F8)*F10)*F39</f>
        <v>17.372666540014553</v>
      </c>
    </row>
  </sheetData>
  <mergeCells count="10">
    <mergeCell ref="B33:F33"/>
    <mergeCell ref="E19:F19"/>
    <mergeCell ref="B35:C35"/>
    <mergeCell ref="E35:F35"/>
    <mergeCell ref="B2:F2"/>
    <mergeCell ref="B4:C4"/>
    <mergeCell ref="B17:C17"/>
    <mergeCell ref="E4:F4"/>
    <mergeCell ref="B19:C19"/>
    <mergeCell ref="E17:F17"/>
  </mergeCells>
  <phoneticPr fontId="11" type="noConversion"/>
  <pageMargins left="0.7" right="0.7" top="0.75" bottom="0.75" header="0.3" footer="0.3"/>
  <pageSetup paperSize="9" scale="57" orientation="portrait" r:id="rId1"/>
  <headerFooter>
    <oddFooter>&amp;L&amp;"Calibri,Regular"&amp;K000000copyright tebu finance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F51"/>
  <sheetViews>
    <sheetView zoomScale="110" zoomScaleNormal="110" zoomScalePageLayoutView="110" workbookViewId="0">
      <selection activeCell="C15" sqref="C15"/>
    </sheetView>
  </sheetViews>
  <sheetFormatPr baseColWidth="10" defaultColWidth="8.83203125" defaultRowHeight="15" x14ac:dyDescent="0.2"/>
  <cols>
    <col min="1" max="1" width="8.83203125" style="1"/>
    <col min="2" max="2" width="53.33203125" style="1" customWidth="1"/>
    <col min="3" max="3" width="13.6640625" style="1" customWidth="1"/>
    <col min="4" max="4" width="15.6640625" style="1" customWidth="1"/>
    <col min="5" max="5" width="47" style="1" bestFit="1" customWidth="1"/>
    <col min="6" max="6" width="17.83203125" style="1" customWidth="1"/>
    <col min="7" max="7" width="8.83203125" style="1"/>
    <col min="8" max="8" width="9.33203125" style="1" bestFit="1" customWidth="1"/>
    <col min="9" max="9" width="8.83203125" style="1"/>
    <col min="10" max="10" width="10.33203125" style="1" bestFit="1" customWidth="1"/>
    <col min="11" max="11" width="9.33203125" style="1" bestFit="1" customWidth="1"/>
    <col min="12" max="12" width="8.83203125" style="1"/>
    <col min="13" max="14" width="9.33203125" style="1" bestFit="1" customWidth="1"/>
    <col min="15" max="248" width="8.83203125" style="1"/>
    <col min="249" max="249" width="10.5" style="1" customWidth="1"/>
    <col min="250" max="250" width="16.33203125" style="1" customWidth="1"/>
    <col min="251" max="251" width="10.33203125" style="1" bestFit="1" customWidth="1"/>
    <col min="252" max="252" width="13.33203125" style="1" customWidth="1"/>
    <col min="253" max="254" width="9.5" style="1" bestFit="1" customWidth="1"/>
    <col min="255" max="16384" width="8.83203125" style="1"/>
  </cols>
  <sheetData>
    <row r="2" spans="2:6" x14ac:dyDescent="0.2">
      <c r="B2" s="50" t="s">
        <v>59</v>
      </c>
      <c r="C2" s="51"/>
      <c r="D2" s="51"/>
      <c r="E2" s="51"/>
      <c r="F2" s="52"/>
    </row>
    <row r="4" spans="2:6" x14ac:dyDescent="0.2">
      <c r="B4" s="53" t="s">
        <v>18</v>
      </c>
      <c r="C4" s="54"/>
      <c r="E4" s="53" t="s">
        <v>19</v>
      </c>
      <c r="F4" s="54"/>
    </row>
    <row r="6" spans="2:6" x14ac:dyDescent="0.2">
      <c r="B6" s="4" t="s">
        <v>11</v>
      </c>
      <c r="C6" s="6">
        <v>15</v>
      </c>
      <c r="E6" s="4" t="s">
        <v>11</v>
      </c>
      <c r="F6" s="6">
        <v>15</v>
      </c>
    </row>
    <row r="7" spans="2:6" x14ac:dyDescent="0.2">
      <c r="B7" s="4" t="s">
        <v>13</v>
      </c>
      <c r="C7" s="6">
        <v>15.1</v>
      </c>
      <c r="E7" s="4" t="s">
        <v>13</v>
      </c>
      <c r="F7" s="6">
        <f>C7</f>
        <v>15.1</v>
      </c>
    </row>
    <row r="8" spans="2:6" x14ac:dyDescent="0.2">
      <c r="B8" s="4" t="s">
        <v>12</v>
      </c>
      <c r="C8" s="2">
        <v>0.05</v>
      </c>
      <c r="E8" s="4" t="s">
        <v>12</v>
      </c>
      <c r="F8" s="2">
        <f t="shared" ref="F8:F11" si="0">C8</f>
        <v>0.05</v>
      </c>
    </row>
    <row r="9" spans="2:6" x14ac:dyDescent="0.2">
      <c r="B9" s="4" t="s">
        <v>6</v>
      </c>
      <c r="C9" s="2">
        <v>0</v>
      </c>
      <c r="E9" s="4" t="s">
        <v>6</v>
      </c>
      <c r="F9" s="2">
        <f t="shared" si="0"/>
        <v>0</v>
      </c>
    </row>
    <row r="10" spans="2:6" x14ac:dyDescent="0.2">
      <c r="B10" s="4" t="s">
        <v>0</v>
      </c>
      <c r="C10" s="5">
        <v>4</v>
      </c>
      <c r="E10" s="4" t="s">
        <v>0</v>
      </c>
      <c r="F10" s="5">
        <f t="shared" si="0"/>
        <v>4</v>
      </c>
    </row>
    <row r="11" spans="2:6" x14ac:dyDescent="0.2">
      <c r="B11" s="4" t="s">
        <v>7</v>
      </c>
      <c r="C11" s="2">
        <v>0.4</v>
      </c>
      <c r="E11" s="4" t="s">
        <v>7</v>
      </c>
      <c r="F11" s="2">
        <f t="shared" si="0"/>
        <v>0.4</v>
      </c>
    </row>
    <row r="12" spans="2:6" ht="16" x14ac:dyDescent="0.2">
      <c r="B12"/>
      <c r="C12"/>
      <c r="F12"/>
    </row>
    <row r="13" spans="2:6" x14ac:dyDescent="0.2">
      <c r="B13" s="4" t="s">
        <v>69</v>
      </c>
      <c r="C13" s="6">
        <v>10</v>
      </c>
      <c r="E13" s="4" t="s">
        <v>69</v>
      </c>
      <c r="F13" s="6">
        <f>C13</f>
        <v>10</v>
      </c>
    </row>
    <row r="14" spans="2:6" x14ac:dyDescent="0.2">
      <c r="B14" s="4" t="s">
        <v>14</v>
      </c>
      <c r="C14" s="6">
        <v>15</v>
      </c>
      <c r="E14" s="4" t="s">
        <v>14</v>
      </c>
      <c r="F14" s="6">
        <f t="shared" ref="F14:F15" si="1">C14</f>
        <v>15</v>
      </c>
    </row>
    <row r="15" spans="2:6" x14ac:dyDescent="0.2">
      <c r="B15" s="4" t="s">
        <v>22</v>
      </c>
      <c r="C15" s="6">
        <v>1</v>
      </c>
      <c r="E15" s="4" t="s">
        <v>22</v>
      </c>
      <c r="F15" s="6">
        <f t="shared" si="1"/>
        <v>1</v>
      </c>
    </row>
    <row r="16" spans="2:6" x14ac:dyDescent="0.2">
      <c r="B16" s="4" t="s">
        <v>23</v>
      </c>
      <c r="C16" s="22">
        <f>(C13*C15)/(C13*C15+C14)</f>
        <v>0.4</v>
      </c>
      <c r="E16" s="4" t="s">
        <v>23</v>
      </c>
      <c r="F16" s="22">
        <f>(F13*F15)/(F13*F15+F14)</f>
        <v>0.4</v>
      </c>
    </row>
    <row r="17" spans="2:6" x14ac:dyDescent="0.2">
      <c r="B17" s="4" t="s">
        <v>29</v>
      </c>
      <c r="C17" s="28">
        <f>C7/C16</f>
        <v>37.75</v>
      </c>
      <c r="E17" s="4" t="s">
        <v>29</v>
      </c>
      <c r="F17" s="28">
        <f>F7/F16</f>
        <v>37.75</v>
      </c>
    </row>
    <row r="18" spans="2:6" ht="16" x14ac:dyDescent="0.2">
      <c r="B18"/>
      <c r="C18"/>
      <c r="E18"/>
      <c r="F18"/>
    </row>
    <row r="19" spans="2:6" x14ac:dyDescent="0.2">
      <c r="B19" s="14" t="s">
        <v>17</v>
      </c>
      <c r="C19" s="14"/>
      <c r="E19" s="14" t="s">
        <v>20</v>
      </c>
      <c r="F19" s="14"/>
    </row>
    <row r="21" spans="2:6" x14ac:dyDescent="0.2">
      <c r="B21" s="53" t="s">
        <v>10</v>
      </c>
      <c r="C21" s="54"/>
      <c r="E21" s="53" t="s">
        <v>10</v>
      </c>
      <c r="F21" s="54"/>
    </row>
    <row r="22" spans="2:6" x14ac:dyDescent="0.2">
      <c r="B22" s="10" t="s">
        <v>24</v>
      </c>
      <c r="C22" s="11">
        <f>C6</f>
        <v>15</v>
      </c>
      <c r="E22" s="10" t="s">
        <v>24</v>
      </c>
      <c r="F22" s="11">
        <f>F6</f>
        <v>15</v>
      </c>
    </row>
    <row r="23" spans="2:6" x14ac:dyDescent="0.2">
      <c r="B23" s="10" t="s">
        <v>25</v>
      </c>
      <c r="C23" s="12">
        <f>-C44</f>
        <v>-5.6619258496935974</v>
      </c>
      <c r="E23" s="10" t="s">
        <v>25</v>
      </c>
      <c r="F23" s="12">
        <f>-F44</f>
        <v>-5.6619258496935974</v>
      </c>
    </row>
    <row r="24" spans="2:6" x14ac:dyDescent="0.2">
      <c r="B24" s="10" t="s">
        <v>26</v>
      </c>
      <c r="C24" s="13">
        <f>C51*C16</f>
        <v>0.64877133811283094</v>
      </c>
      <c r="E24" s="10" t="s">
        <v>26</v>
      </c>
      <c r="F24" s="13">
        <f>F51*F16</f>
        <v>0.64877133811283094</v>
      </c>
    </row>
    <row r="25" spans="2:6" ht="16" x14ac:dyDescent="0.2">
      <c r="B25" s="18" t="s">
        <v>54</v>
      </c>
      <c r="C25" s="26">
        <f>SUM(C22:C24)</f>
        <v>9.9868454884192328</v>
      </c>
      <c r="E25" s="18" t="s">
        <v>54</v>
      </c>
      <c r="F25" s="26">
        <f>SUM(F22:F24)</f>
        <v>9.9868454884192328</v>
      </c>
    </row>
    <row r="26" spans="2:6" ht="16" x14ac:dyDescent="0.2">
      <c r="B26" s="18" t="s">
        <v>55</v>
      </c>
      <c r="C26" s="27">
        <f>C25/C13</f>
        <v>0.99868454884192326</v>
      </c>
      <c r="E26" s="18" t="s">
        <v>55</v>
      </c>
      <c r="F26" s="27">
        <f>F25/F13</f>
        <v>0.99868454884192326</v>
      </c>
    </row>
    <row r="27" spans="2:6" ht="16" x14ac:dyDescent="0.2">
      <c r="C27"/>
      <c r="F27"/>
    </row>
    <row r="28" spans="2:6" ht="16" x14ac:dyDescent="0.2">
      <c r="C28"/>
      <c r="F28"/>
    </row>
    <row r="29" spans="2:6" ht="16" x14ac:dyDescent="0.2">
      <c r="B29" s="18" t="s">
        <v>46</v>
      </c>
      <c r="C29" s="26">
        <f>C6-C25</f>
        <v>5.0131545115807672</v>
      </c>
      <c r="E29" s="18" t="s">
        <v>46</v>
      </c>
      <c r="F29" s="26">
        <f>F6-F25</f>
        <v>5.0131545115807672</v>
      </c>
    </row>
    <row r="30" spans="2:6" ht="16" x14ac:dyDescent="0.2">
      <c r="B30" s="18" t="s">
        <v>47</v>
      </c>
      <c r="C30" s="27">
        <f>C29/C14</f>
        <v>0.33421030077205116</v>
      </c>
      <c r="E30" s="18" t="s">
        <v>47</v>
      </c>
      <c r="F30" s="27">
        <f>F29/F14</f>
        <v>0.33421030077205116</v>
      </c>
    </row>
    <row r="31" spans="2:6" s="17" customFormat="1" ht="16" x14ac:dyDescent="0.2">
      <c r="B31" s="24"/>
      <c r="C31" s="25"/>
      <c r="E31" s="24"/>
      <c r="F31" s="25"/>
    </row>
    <row r="32" spans="2:6" s="17" customFormat="1" ht="16" x14ac:dyDescent="0.2">
      <c r="B32" s="24"/>
      <c r="C32" s="25"/>
      <c r="E32" s="24"/>
      <c r="F32" s="25"/>
    </row>
    <row r="33" spans="2:6" s="17" customFormat="1" ht="16" x14ac:dyDescent="0.2">
      <c r="B33" s="24"/>
      <c r="C33" s="25"/>
      <c r="E33" s="24"/>
      <c r="F33" s="25"/>
    </row>
    <row r="34" spans="2:6" s="17" customFormat="1" ht="16" x14ac:dyDescent="0.2">
      <c r="B34" s="24"/>
      <c r="C34" s="25"/>
      <c r="E34" s="24"/>
      <c r="F34" s="25"/>
    </row>
    <row r="35" spans="2:6" s="17" customFormat="1" ht="16" x14ac:dyDescent="0.2">
      <c r="B35" s="24"/>
      <c r="C35" s="25"/>
      <c r="E35" s="24"/>
      <c r="F35" s="25"/>
    </row>
    <row r="36" spans="2:6" s="17" customFormat="1" ht="16" x14ac:dyDescent="0.2">
      <c r="B36" s="24"/>
      <c r="C36" s="25"/>
      <c r="E36" s="24"/>
      <c r="F36" s="25"/>
    </row>
    <row r="37" spans="2:6" s="17" customFormat="1" ht="16" customHeight="1" x14ac:dyDescent="0.2">
      <c r="B37" s="37" t="s">
        <v>21</v>
      </c>
      <c r="C37" s="37"/>
      <c r="D37" s="37"/>
      <c r="E37" s="37"/>
      <c r="F37" s="37"/>
    </row>
    <row r="38" spans="2:6" s="17" customFormat="1" ht="16" x14ac:dyDescent="0.2">
      <c r="B38" s="29"/>
      <c r="C38" s="30"/>
      <c r="D38" s="31"/>
      <c r="E38" s="29"/>
      <c r="F38" s="30"/>
    </row>
    <row r="39" spans="2:6" s="17" customFormat="1" ht="16" customHeight="1" x14ac:dyDescent="0.2">
      <c r="B39" s="37" t="s">
        <v>27</v>
      </c>
      <c r="C39" s="37"/>
      <c r="D39" s="31"/>
      <c r="E39" s="37" t="s">
        <v>27</v>
      </c>
      <c r="F39" s="37"/>
    </row>
    <row r="40" spans="2:6" ht="16" x14ac:dyDescent="0.2">
      <c r="B40" s="32" t="s">
        <v>1</v>
      </c>
      <c r="C40" s="33">
        <f>LN((C6*EXP(-LN(C9+1)*C10))/(C7*EXP(-LN(1+C8)*C10)))/(C11*SQRT(C10))+(C11*SQRT(C10))/2</f>
        <v>0.63564514244882453</v>
      </c>
      <c r="D40" s="34"/>
      <c r="E40" s="32" t="s">
        <v>1</v>
      </c>
      <c r="F40" s="33">
        <f>LN((F6*EXP(-LN(F9+1)*F10))/(F7*EXP(-LN(1+F8)*F10)))/(F11*SQRT(F10))+(F11*SQRT(F10))/2</f>
        <v>0.63564514244882453</v>
      </c>
    </row>
    <row r="41" spans="2:6" ht="16" x14ac:dyDescent="0.2">
      <c r="B41" s="32" t="s">
        <v>2</v>
      </c>
      <c r="C41" s="33">
        <f>C40-C11*SQRT(C10)</f>
        <v>-0.16435485755117551</v>
      </c>
      <c r="D41" s="34"/>
      <c r="E41" s="32" t="s">
        <v>2</v>
      </c>
      <c r="F41" s="33">
        <f>F40-F11*SQRT(F10)</f>
        <v>-0.16435485755117551</v>
      </c>
    </row>
    <row r="42" spans="2:6" ht="16" x14ac:dyDescent="0.2">
      <c r="B42" s="32" t="s">
        <v>3</v>
      </c>
      <c r="C42" s="33">
        <f>NORMSDIST(C40)</f>
        <v>0.7374961303861326</v>
      </c>
      <c r="D42" s="34"/>
      <c r="E42" s="32" t="s">
        <v>3</v>
      </c>
      <c r="F42" s="33">
        <f>NORMSDIST(F40)</f>
        <v>0.7374961303861326</v>
      </c>
    </row>
    <row r="43" spans="2:6" ht="16" x14ac:dyDescent="0.2">
      <c r="B43" s="32" t="s">
        <v>4</v>
      </c>
      <c r="C43" s="33">
        <f>NORMSDIST(C41)</f>
        <v>0.43472589935021583</v>
      </c>
      <c r="D43" s="34"/>
      <c r="E43" s="32" t="s">
        <v>4</v>
      </c>
      <c r="F43" s="33">
        <f>NORMSDIST(F41)</f>
        <v>0.43472589935021583</v>
      </c>
    </row>
    <row r="44" spans="2:6" x14ac:dyDescent="0.2">
      <c r="B44" s="35" t="s">
        <v>5</v>
      </c>
      <c r="C44" s="36">
        <f>C6*EXP(-LN(1+C9)*C10)*C42-C7*EXP(-LN(1+C8)*C10)*C43</f>
        <v>5.6619258496935974</v>
      </c>
      <c r="D44" s="34"/>
      <c r="E44" s="35" t="s">
        <v>5</v>
      </c>
      <c r="F44" s="36">
        <f>F6*EXP(-LN(1+F9)*F10)*F42-F7*EXP(-LN(1+F8)*F10)*F43</f>
        <v>5.6619258496935974</v>
      </c>
    </row>
    <row r="45" spans="2:6" x14ac:dyDescent="0.2">
      <c r="B45" s="34"/>
      <c r="C45" s="34"/>
      <c r="D45" s="34"/>
      <c r="E45" s="34"/>
      <c r="F45" s="34"/>
    </row>
    <row r="46" spans="2:6" x14ac:dyDescent="0.2">
      <c r="B46" s="37" t="s">
        <v>28</v>
      </c>
      <c r="C46" s="37"/>
      <c r="D46" s="34"/>
      <c r="E46" s="37" t="s">
        <v>28</v>
      </c>
      <c r="F46" s="37"/>
    </row>
    <row r="47" spans="2:6" ht="16" x14ac:dyDescent="0.2">
      <c r="B47" s="32" t="s">
        <v>1</v>
      </c>
      <c r="C47" s="33">
        <f>LN((C6*EXP(-LN(C9+1)*C10))/(C17*EXP(-LN(1+C8)*C10)))/(C11*SQRT(C10))+(C11*SQRT(C10))/2</f>
        <v>-0.50971827239386935</v>
      </c>
      <c r="D47" s="34"/>
      <c r="E47" s="32" t="s">
        <v>1</v>
      </c>
      <c r="F47" s="33">
        <f>LN((F6*EXP(-LN(F9+1)*F10))/(F17*EXP(-LN(1+F8)*F10)))/(F11*SQRT(F10))+(F11*SQRT(F10))/2</f>
        <v>-0.50971827239386935</v>
      </c>
    </row>
    <row r="48" spans="2:6" ht="16" x14ac:dyDescent="0.2">
      <c r="B48" s="32" t="s">
        <v>2</v>
      </c>
      <c r="C48" s="33">
        <f>C47-C11*SQRT(C10)</f>
        <v>-1.3097182723938694</v>
      </c>
      <c r="D48" s="34"/>
      <c r="E48" s="32" t="s">
        <v>2</v>
      </c>
      <c r="F48" s="33">
        <f>F47-F11*SQRT(F10)</f>
        <v>-1.3097182723938694</v>
      </c>
    </row>
    <row r="49" spans="2:6" ht="16" x14ac:dyDescent="0.2">
      <c r="B49" s="32" t="s">
        <v>3</v>
      </c>
      <c r="C49" s="33">
        <f>NORMSDIST(C47)</f>
        <v>0.30512442487867508</v>
      </c>
      <c r="D49" s="34"/>
      <c r="E49" s="32" t="s">
        <v>3</v>
      </c>
      <c r="F49" s="33">
        <f>NORMSDIST(F47)</f>
        <v>0.30512442487867508</v>
      </c>
    </row>
    <row r="50" spans="2:6" ht="16" x14ac:dyDescent="0.2">
      <c r="B50" s="32" t="s">
        <v>4</v>
      </c>
      <c r="C50" s="33">
        <f>NORMSDIST(C48)</f>
        <v>9.5145579901264987E-2</v>
      </c>
      <c r="D50" s="34"/>
      <c r="E50" s="32" t="s">
        <v>4</v>
      </c>
      <c r="F50" s="33">
        <f>NORMSDIST(F48)</f>
        <v>9.5145579901264987E-2</v>
      </c>
    </row>
    <row r="51" spans="2:6" x14ac:dyDescent="0.2">
      <c r="B51" s="35" t="s">
        <v>5</v>
      </c>
      <c r="C51" s="36">
        <f>C6*EXP(-LN(1+C9)*C10)*C49-C17*EXP(-LN(1+C8)*C10)*C50</f>
        <v>1.6219283452820772</v>
      </c>
      <c r="D51" s="34"/>
      <c r="E51" s="35" t="s">
        <v>5</v>
      </c>
      <c r="F51" s="36">
        <f>F6*EXP(-LN(1+F9)*F10)*F49-F17*EXP(-LN(1+F8)*F10)*F50</f>
        <v>1.6219283452820772</v>
      </c>
    </row>
  </sheetData>
  <mergeCells count="12">
    <mergeCell ref="B46:C46"/>
    <mergeCell ref="E46:F46"/>
    <mergeCell ref="B37:F37"/>
    <mergeCell ref="B2:F2"/>
    <mergeCell ref="B4:C4"/>
    <mergeCell ref="E4:F4"/>
    <mergeCell ref="B19:C19"/>
    <mergeCell ref="B21:C21"/>
    <mergeCell ref="B39:C39"/>
    <mergeCell ref="E19:F19"/>
    <mergeCell ref="E21:F21"/>
    <mergeCell ref="E39:F39"/>
  </mergeCells>
  <phoneticPr fontId="11" type="noConversion"/>
  <pageMargins left="0.7" right="0.7" top="0.75" bottom="0.75" header="0.3" footer="0.3"/>
  <pageSetup paperSize="9" scale="55" orientation="portrait" r:id="rId1"/>
  <headerFooter>
    <oddFooter>&amp;L&amp;"Calibri,Regular"&amp;K000000copyright tebu finance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F42"/>
  <sheetViews>
    <sheetView workbookViewId="0">
      <selection activeCell="F6" sqref="F6:F16"/>
    </sheetView>
  </sheetViews>
  <sheetFormatPr baseColWidth="10" defaultColWidth="8.83203125" defaultRowHeight="15" x14ac:dyDescent="0.2"/>
  <cols>
    <col min="1" max="1" width="8.83203125" style="1"/>
    <col min="2" max="2" width="47" style="1" bestFit="1" customWidth="1"/>
    <col min="3" max="3" width="14" style="1" customWidth="1"/>
    <col min="4" max="4" width="7.33203125" style="1" customWidth="1"/>
    <col min="5" max="5" width="47" style="1" bestFit="1" customWidth="1"/>
    <col min="6" max="6" width="9.5" style="1" bestFit="1" customWidth="1"/>
    <col min="7" max="7" width="8.83203125" style="1"/>
    <col min="8" max="8" width="9.33203125" style="1" bestFit="1" customWidth="1"/>
    <col min="9" max="9" width="8.83203125" style="1"/>
    <col min="10" max="10" width="10.33203125" style="1" bestFit="1" customWidth="1"/>
    <col min="11" max="11" width="9.33203125" style="1" bestFit="1" customWidth="1"/>
    <col min="12" max="12" width="8.83203125" style="1"/>
    <col min="13" max="14" width="9.33203125" style="1" bestFit="1" customWidth="1"/>
    <col min="15" max="248" width="8.83203125" style="1"/>
    <col min="249" max="249" width="10.5" style="1" customWidth="1"/>
    <col min="250" max="250" width="16.33203125" style="1" customWidth="1"/>
    <col min="251" max="251" width="10.33203125" style="1" bestFit="1" customWidth="1"/>
    <col min="252" max="252" width="13.33203125" style="1" customWidth="1"/>
    <col min="253" max="254" width="9.5" style="1" bestFit="1" customWidth="1"/>
    <col min="255" max="16384" width="8.83203125" style="1"/>
  </cols>
  <sheetData>
    <row r="2" spans="2:6" x14ac:dyDescent="0.2">
      <c r="B2" s="50" t="s">
        <v>58</v>
      </c>
      <c r="C2" s="51"/>
      <c r="D2" s="51"/>
      <c r="E2" s="51"/>
      <c r="F2" s="52"/>
    </row>
    <row r="4" spans="2:6" x14ac:dyDescent="0.2">
      <c r="B4" s="53" t="s">
        <v>18</v>
      </c>
      <c r="C4" s="54"/>
      <c r="E4" s="53" t="s">
        <v>19</v>
      </c>
      <c r="F4" s="54"/>
    </row>
    <row r="6" spans="2:6" x14ac:dyDescent="0.2">
      <c r="B6" s="4" t="s">
        <v>11</v>
      </c>
      <c r="C6" s="6">
        <v>15</v>
      </c>
      <c r="E6" s="4" t="s">
        <v>11</v>
      </c>
      <c r="F6" s="6">
        <v>30</v>
      </c>
    </row>
    <row r="7" spans="2:6" x14ac:dyDescent="0.2">
      <c r="B7" s="4" t="s">
        <v>13</v>
      </c>
      <c r="C7" s="6">
        <v>9.169899068476651</v>
      </c>
      <c r="E7" s="4" t="s">
        <v>13</v>
      </c>
      <c r="F7" s="6">
        <f>C7</f>
        <v>9.169899068476651</v>
      </c>
    </row>
    <row r="8" spans="2:6" x14ac:dyDescent="0.2">
      <c r="B8" s="4" t="s">
        <v>12</v>
      </c>
      <c r="C8" s="2">
        <v>0.05</v>
      </c>
      <c r="E8" s="4" t="s">
        <v>12</v>
      </c>
      <c r="F8" s="2">
        <f t="shared" ref="F8:F11" si="0">C8</f>
        <v>0.05</v>
      </c>
    </row>
    <row r="9" spans="2:6" x14ac:dyDescent="0.2">
      <c r="B9" s="4" t="s">
        <v>6</v>
      </c>
      <c r="C9" s="2">
        <v>0</v>
      </c>
      <c r="E9" s="4" t="s">
        <v>6</v>
      </c>
      <c r="F9" s="2">
        <f t="shared" si="0"/>
        <v>0</v>
      </c>
    </row>
    <row r="10" spans="2:6" x14ac:dyDescent="0.2">
      <c r="B10" s="4" t="s">
        <v>0</v>
      </c>
      <c r="C10" s="5">
        <v>4</v>
      </c>
      <c r="E10" s="4" t="s">
        <v>0</v>
      </c>
      <c r="F10" s="5">
        <f t="shared" si="0"/>
        <v>4</v>
      </c>
    </row>
    <row r="11" spans="2:6" x14ac:dyDescent="0.2">
      <c r="B11" s="4" t="s">
        <v>7</v>
      </c>
      <c r="C11" s="2">
        <v>0.4</v>
      </c>
      <c r="E11" s="4" t="s">
        <v>7</v>
      </c>
      <c r="F11" s="2">
        <f t="shared" si="0"/>
        <v>0.4</v>
      </c>
    </row>
    <row r="12" spans="2:6" ht="16" x14ac:dyDescent="0.2">
      <c r="B12"/>
      <c r="C12"/>
      <c r="F12"/>
    </row>
    <row r="13" spans="2:6" x14ac:dyDescent="0.2">
      <c r="B13" s="4" t="s">
        <v>15</v>
      </c>
      <c r="C13" s="6">
        <v>10</v>
      </c>
      <c r="E13" s="4" t="s">
        <v>15</v>
      </c>
      <c r="F13" s="6">
        <f>C13</f>
        <v>10</v>
      </c>
    </row>
    <row r="14" spans="2:6" x14ac:dyDescent="0.2">
      <c r="B14" s="4" t="s">
        <v>14</v>
      </c>
      <c r="C14" s="6">
        <v>15</v>
      </c>
      <c r="E14" s="4" t="s">
        <v>14</v>
      </c>
      <c r="F14" s="6">
        <f t="shared" ref="F14:F15" si="1">C14</f>
        <v>15</v>
      </c>
    </row>
    <row r="15" spans="2:6" x14ac:dyDescent="0.2">
      <c r="B15" s="4" t="s">
        <v>33</v>
      </c>
      <c r="C15" s="6">
        <v>1</v>
      </c>
      <c r="E15" s="4" t="s">
        <v>33</v>
      </c>
      <c r="F15" s="6">
        <f t="shared" si="1"/>
        <v>1</v>
      </c>
    </row>
    <row r="16" spans="2:6" x14ac:dyDescent="0.2">
      <c r="B16" s="4" t="s">
        <v>30</v>
      </c>
      <c r="C16" s="22">
        <f>(C13*C15)/(C13*C15+C14)</f>
        <v>0.4</v>
      </c>
      <c r="E16" s="4" t="s">
        <v>30</v>
      </c>
      <c r="F16" s="22">
        <f>(F13*F15)/(F13*F15+F14)</f>
        <v>0.4</v>
      </c>
    </row>
    <row r="19" spans="2:6" x14ac:dyDescent="0.2">
      <c r="B19" s="14" t="s">
        <v>17</v>
      </c>
      <c r="C19" s="14"/>
      <c r="E19" s="14" t="s">
        <v>20</v>
      </c>
      <c r="F19" s="14"/>
    </row>
    <row r="20" spans="2:6" x14ac:dyDescent="0.2">
      <c r="B20" s="9"/>
      <c r="C20" s="9"/>
    </row>
    <row r="21" spans="2:6" x14ac:dyDescent="0.2">
      <c r="B21" s="21" t="s">
        <v>32</v>
      </c>
      <c r="C21" s="21"/>
      <c r="E21" s="21" t="s">
        <v>32</v>
      </c>
      <c r="F21" s="21"/>
    </row>
    <row r="22" spans="2:6" x14ac:dyDescent="0.2">
      <c r="B22" s="3" t="s">
        <v>8</v>
      </c>
      <c r="C22" s="11">
        <f>C6</f>
        <v>15</v>
      </c>
      <c r="E22" s="3" t="s">
        <v>8</v>
      </c>
      <c r="F22" s="11">
        <f>F6</f>
        <v>30</v>
      </c>
    </row>
    <row r="23" spans="2:6" x14ac:dyDescent="0.2">
      <c r="B23" s="3" t="s">
        <v>9</v>
      </c>
      <c r="C23" s="11">
        <f>-C42*(1-C16)</f>
        <v>-4.9999806108747906</v>
      </c>
      <c r="E23" s="3" t="s">
        <v>9</v>
      </c>
      <c r="F23" s="11">
        <f>-F42*(1-F16)</f>
        <v>-13.590346207236296</v>
      </c>
    </row>
    <row r="24" spans="2:6" x14ac:dyDescent="0.2">
      <c r="B24" s="18" t="s">
        <v>50</v>
      </c>
      <c r="C24" s="19">
        <f>C22+C23</f>
        <v>10.00001938912521</v>
      </c>
      <c r="E24" s="18" t="s">
        <v>50</v>
      </c>
      <c r="F24" s="19">
        <f>F22+F23</f>
        <v>16.409653792763706</v>
      </c>
    </row>
    <row r="25" spans="2:6" x14ac:dyDescent="0.2">
      <c r="B25" s="18" t="s">
        <v>51</v>
      </c>
      <c r="C25" s="20">
        <f>C24/C13</f>
        <v>1.000001938912521</v>
      </c>
      <c r="E25" s="18" t="s">
        <v>51</v>
      </c>
      <c r="F25" s="20">
        <f>F24/F13</f>
        <v>1.6409653792763705</v>
      </c>
    </row>
    <row r="28" spans="2:6" x14ac:dyDescent="0.2">
      <c r="B28" s="18" t="s">
        <v>46</v>
      </c>
      <c r="C28" s="19">
        <f>C6-C24</f>
        <v>4.9999806108747897</v>
      </c>
      <c r="E28" s="18" t="s">
        <v>46</v>
      </c>
      <c r="F28" s="19">
        <f>F6-F24</f>
        <v>13.590346207236294</v>
      </c>
    </row>
    <row r="29" spans="2:6" x14ac:dyDescent="0.2">
      <c r="B29" s="18" t="s">
        <v>47</v>
      </c>
      <c r="C29" s="20">
        <f>C28/C14</f>
        <v>0.33333204072498596</v>
      </c>
      <c r="E29" s="18" t="s">
        <v>47</v>
      </c>
      <c r="F29" s="20">
        <f>F28/F14</f>
        <v>0.90602308048241964</v>
      </c>
    </row>
    <row r="35" spans="2:6" x14ac:dyDescent="0.2">
      <c r="B35" s="37" t="s">
        <v>21</v>
      </c>
      <c r="C35" s="37"/>
      <c r="D35" s="37"/>
      <c r="E35" s="37"/>
      <c r="F35" s="37"/>
    </row>
    <row r="36" spans="2:6" x14ac:dyDescent="0.2">
      <c r="B36" s="34"/>
      <c r="C36" s="34"/>
      <c r="D36" s="34"/>
      <c r="E36" s="34"/>
      <c r="F36" s="34"/>
    </row>
    <row r="37" spans="2:6" ht="16" x14ac:dyDescent="0.2">
      <c r="B37" s="38" t="s">
        <v>31</v>
      </c>
      <c r="C37" s="38"/>
      <c r="D37" s="34"/>
      <c r="E37" s="38" t="s">
        <v>31</v>
      </c>
      <c r="F37" s="38"/>
    </row>
    <row r="38" spans="2:6" ht="16" x14ac:dyDescent="0.2">
      <c r="B38" s="32" t="s">
        <v>1</v>
      </c>
      <c r="C38" s="33">
        <f>LN((C6*EXP(-LN(C9+1)*C10))/(C7*EXP(-LN(1+C8)*C10)))/(C11*SQRT(C10))+(C11*SQRT(C10))/2</f>
        <v>1.2591057228516718</v>
      </c>
      <c r="D38" s="34"/>
      <c r="E38" s="32" t="s">
        <v>1</v>
      </c>
      <c r="F38" s="33">
        <f>LN((F6*EXP(-LN(F9+1)*F10))/(F7*EXP(-LN(1+F8)*F10)))/(F11*SQRT(F10))+(F11*SQRT(F10))/2</f>
        <v>2.1255396985516031</v>
      </c>
    </row>
    <row r="39" spans="2:6" ht="16" x14ac:dyDescent="0.2">
      <c r="B39" s="32" t="s">
        <v>2</v>
      </c>
      <c r="C39" s="33">
        <f>C38-C11*SQRT(C10)</f>
        <v>0.45910572285167173</v>
      </c>
      <c r="D39" s="34"/>
      <c r="E39" s="32" t="s">
        <v>2</v>
      </c>
      <c r="F39" s="33">
        <f>F38-F11*SQRT(F10)</f>
        <v>1.325539698551603</v>
      </c>
    </row>
    <row r="40" spans="2:6" ht="16" x14ac:dyDescent="0.2">
      <c r="B40" s="32" t="s">
        <v>3</v>
      </c>
      <c r="C40" s="33">
        <f>NORMSDIST(C38)</f>
        <v>0.89600392618001456</v>
      </c>
      <c r="D40" s="34"/>
      <c r="E40" s="32" t="s">
        <v>3</v>
      </c>
      <c r="F40" s="33">
        <f>NORMSDIST(F38)</f>
        <v>0.98322919739893144</v>
      </c>
    </row>
    <row r="41" spans="2:6" ht="16" x14ac:dyDescent="0.2">
      <c r="B41" s="32" t="s">
        <v>4</v>
      </c>
      <c r="C41" s="33">
        <f>NORMSDIST(C39)</f>
        <v>0.67692087638370313</v>
      </c>
      <c r="D41" s="34"/>
      <c r="E41" s="32" t="s">
        <v>4</v>
      </c>
      <c r="F41" s="33">
        <f>NORMSDIST(F39)</f>
        <v>0.90750389423240807</v>
      </c>
    </row>
    <row r="42" spans="2:6" x14ac:dyDescent="0.2">
      <c r="B42" s="35" t="s">
        <v>5</v>
      </c>
      <c r="C42" s="36">
        <f>C6*EXP(-LN(1+C9)*C10)*C40-C7*EXP(-LN(1+C8)*C10)*C41</f>
        <v>8.3333010181246507</v>
      </c>
      <c r="D42" s="34"/>
      <c r="E42" s="35" t="s">
        <v>5</v>
      </c>
      <c r="F42" s="36">
        <f>F6*EXP(-LN(1+F9)*F10)*F40-F7*EXP(-LN(1+F8)*F10)*F41</f>
        <v>22.650577012060495</v>
      </c>
    </row>
  </sheetData>
  <mergeCells count="10">
    <mergeCell ref="B37:C37"/>
    <mergeCell ref="E37:F37"/>
    <mergeCell ref="E21:F21"/>
    <mergeCell ref="B2:F2"/>
    <mergeCell ref="B4:C4"/>
    <mergeCell ref="E4:F4"/>
    <mergeCell ref="B19:C19"/>
    <mergeCell ref="E19:F19"/>
    <mergeCell ref="B21:C21"/>
    <mergeCell ref="B35:F35"/>
  </mergeCells>
  <phoneticPr fontId="11" type="noConversion"/>
  <pageMargins left="0.7" right="0.7" top="0.75" bottom="0.75" header="0.3" footer="0.3"/>
  <pageSetup paperSize="9" scale="65" orientation="portrait" r:id="rId1"/>
  <headerFooter>
    <oddFooter>&amp;L&amp;"Calibri,Regular"&amp;K000000copyright tebu finance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F53"/>
  <sheetViews>
    <sheetView zoomScale="90" zoomScaleNormal="90" zoomScalePageLayoutView="90" workbookViewId="0">
      <selection activeCell="C32" sqref="C32"/>
    </sheetView>
  </sheetViews>
  <sheetFormatPr baseColWidth="10" defaultColWidth="8.83203125" defaultRowHeight="15" x14ac:dyDescent="0.2"/>
  <cols>
    <col min="1" max="1" width="8.83203125" style="1"/>
    <col min="2" max="2" width="50.83203125" style="1" customWidth="1"/>
    <col min="3" max="3" width="10.6640625" style="1" customWidth="1"/>
    <col min="4" max="4" width="13" style="1" customWidth="1"/>
    <col min="5" max="5" width="50" style="1" customWidth="1"/>
    <col min="6" max="6" width="19" style="1" customWidth="1"/>
    <col min="7" max="7" width="8.83203125" style="1"/>
    <col min="8" max="8" width="9.33203125" style="1" bestFit="1" customWidth="1"/>
    <col min="9" max="9" width="8.83203125" style="1"/>
    <col min="10" max="10" width="10.33203125" style="1" bestFit="1" customWidth="1"/>
    <col min="11" max="11" width="9.33203125" style="1" bestFit="1" customWidth="1"/>
    <col min="12" max="12" width="8.83203125" style="1"/>
    <col min="13" max="14" width="9.33203125" style="1" bestFit="1" customWidth="1"/>
    <col min="15" max="248" width="8.83203125" style="1"/>
    <col min="249" max="249" width="10.5" style="1" customWidth="1"/>
    <col min="250" max="250" width="16.33203125" style="1" customWidth="1"/>
    <col min="251" max="251" width="10.33203125" style="1" bestFit="1" customWidth="1"/>
    <col min="252" max="252" width="13.33203125" style="1" customWidth="1"/>
    <col min="253" max="254" width="9.5" style="1" bestFit="1" customWidth="1"/>
    <col min="255" max="16384" width="8.83203125" style="1"/>
  </cols>
  <sheetData>
    <row r="2" spans="2:6" x14ac:dyDescent="0.2">
      <c r="B2" s="50" t="s">
        <v>57</v>
      </c>
      <c r="C2" s="51"/>
      <c r="D2" s="51"/>
      <c r="E2" s="51"/>
      <c r="F2" s="52"/>
    </row>
    <row r="4" spans="2:6" x14ac:dyDescent="0.2">
      <c r="B4" s="53" t="s">
        <v>18</v>
      </c>
      <c r="C4" s="54"/>
      <c r="E4" s="53" t="s">
        <v>19</v>
      </c>
      <c r="F4" s="54"/>
    </row>
    <row r="6" spans="2:6" x14ac:dyDescent="0.2">
      <c r="B6" s="4" t="s">
        <v>11</v>
      </c>
      <c r="C6" s="42">
        <v>15</v>
      </c>
      <c r="E6" s="4" t="s">
        <v>11</v>
      </c>
      <c r="F6" s="42">
        <v>30</v>
      </c>
    </row>
    <row r="7" spans="2:6" x14ac:dyDescent="0.2">
      <c r="B7" s="4" t="s">
        <v>13</v>
      </c>
      <c r="C7" s="43">
        <v>10</v>
      </c>
      <c r="E7" s="4" t="s">
        <v>13</v>
      </c>
      <c r="F7" s="43">
        <f>C7</f>
        <v>10</v>
      </c>
    </row>
    <row r="8" spans="2:6" x14ac:dyDescent="0.2">
      <c r="B8" s="4" t="s">
        <v>12</v>
      </c>
      <c r="C8" s="44">
        <v>0.05</v>
      </c>
      <c r="E8" s="4" t="s">
        <v>12</v>
      </c>
      <c r="F8" s="44">
        <f t="shared" ref="F8:F11" si="0">C8</f>
        <v>0.05</v>
      </c>
    </row>
    <row r="9" spans="2:6" x14ac:dyDescent="0.2">
      <c r="B9" s="4" t="s">
        <v>6</v>
      </c>
      <c r="C9" s="44">
        <v>0</v>
      </c>
      <c r="E9" s="4" t="s">
        <v>6</v>
      </c>
      <c r="F9" s="44">
        <f t="shared" si="0"/>
        <v>0</v>
      </c>
    </row>
    <row r="10" spans="2:6" x14ac:dyDescent="0.2">
      <c r="B10" s="4" t="s">
        <v>0</v>
      </c>
      <c r="C10" s="45">
        <v>4</v>
      </c>
      <c r="E10" s="4" t="s">
        <v>0</v>
      </c>
      <c r="F10" s="45">
        <f t="shared" si="0"/>
        <v>4</v>
      </c>
    </row>
    <row r="11" spans="2:6" x14ac:dyDescent="0.2">
      <c r="B11" s="4" t="s">
        <v>7</v>
      </c>
      <c r="C11" s="44">
        <v>0.4</v>
      </c>
      <c r="E11" s="4" t="s">
        <v>7</v>
      </c>
      <c r="F11" s="44">
        <f t="shared" si="0"/>
        <v>0.4</v>
      </c>
    </row>
    <row r="12" spans="2:6" ht="16" x14ac:dyDescent="0.2">
      <c r="B12"/>
      <c r="C12"/>
      <c r="F12"/>
    </row>
    <row r="13" spans="2:6" x14ac:dyDescent="0.2">
      <c r="B13" s="4" t="s">
        <v>70</v>
      </c>
      <c r="C13" s="6">
        <v>10</v>
      </c>
      <c r="E13" s="4" t="s">
        <v>70</v>
      </c>
      <c r="F13" s="6">
        <f>C13</f>
        <v>10</v>
      </c>
    </row>
    <row r="14" spans="2:6" x14ac:dyDescent="0.2">
      <c r="B14" s="4" t="s">
        <v>14</v>
      </c>
      <c r="C14" s="6">
        <v>15</v>
      </c>
      <c r="E14" s="4" t="s">
        <v>14</v>
      </c>
      <c r="F14" s="6">
        <f t="shared" ref="F14:F15" si="1">C14</f>
        <v>15</v>
      </c>
    </row>
    <row r="15" spans="2:6" x14ac:dyDescent="0.2">
      <c r="B15" s="4" t="s">
        <v>33</v>
      </c>
      <c r="C15" s="6">
        <v>1</v>
      </c>
      <c r="E15" s="4" t="s">
        <v>33</v>
      </c>
      <c r="F15" s="6">
        <f t="shared" si="1"/>
        <v>1</v>
      </c>
    </row>
    <row r="16" spans="2:6" x14ac:dyDescent="0.2">
      <c r="B16" s="4" t="s">
        <v>30</v>
      </c>
      <c r="C16" s="22">
        <f>(C13*C15)/(C13*C15+C14)</f>
        <v>0.4</v>
      </c>
      <c r="E16" s="4" t="s">
        <v>30</v>
      </c>
      <c r="F16" s="22">
        <f>(F13*F15)/(F13*F15+F14)</f>
        <v>0.4</v>
      </c>
    </row>
    <row r="17" spans="2:6" s="23" customFormat="1" x14ac:dyDescent="0.2">
      <c r="B17" s="40"/>
      <c r="C17" s="41"/>
      <c r="E17" s="40"/>
      <c r="F17" s="41"/>
    </row>
    <row r="18" spans="2:6" s="23" customFormat="1" x14ac:dyDescent="0.2">
      <c r="B18" s="46" t="s">
        <v>34</v>
      </c>
      <c r="C18" s="6">
        <v>30</v>
      </c>
      <c r="E18" s="46" t="s">
        <v>34</v>
      </c>
      <c r="F18" s="6">
        <f t="shared" ref="F18" si="2">C18</f>
        <v>30</v>
      </c>
    </row>
    <row r="19" spans="2:6" s="23" customFormat="1" x14ac:dyDescent="0.2">
      <c r="B19" s="4" t="s">
        <v>37</v>
      </c>
      <c r="C19" s="47">
        <f>(C18-C7*(1-C16))/C16</f>
        <v>60</v>
      </c>
      <c r="E19" s="4" t="s">
        <v>37</v>
      </c>
      <c r="F19" s="47">
        <f>(F18-F7*(1-F16))/F16</f>
        <v>60</v>
      </c>
    </row>
    <row r="22" spans="2:6" x14ac:dyDescent="0.2">
      <c r="B22" s="15" t="s">
        <v>17</v>
      </c>
      <c r="C22" s="16"/>
      <c r="E22" s="14" t="s">
        <v>20</v>
      </c>
      <c r="F22" s="14"/>
    </row>
    <row r="23" spans="2:6" x14ac:dyDescent="0.2">
      <c r="B23" s="9"/>
      <c r="C23" s="9"/>
    </row>
    <row r="24" spans="2:6" x14ac:dyDescent="0.2">
      <c r="B24" s="53" t="s">
        <v>43</v>
      </c>
      <c r="C24" s="54"/>
      <c r="E24" s="53" t="s">
        <v>43</v>
      </c>
      <c r="F24" s="54"/>
    </row>
    <row r="25" spans="2:6" x14ac:dyDescent="0.2">
      <c r="B25" s="3" t="s">
        <v>8</v>
      </c>
      <c r="C25" s="11">
        <f>C6</f>
        <v>15</v>
      </c>
      <c r="E25" s="3" t="s">
        <v>8</v>
      </c>
      <c r="F25" s="11">
        <f>F6</f>
        <v>30</v>
      </c>
    </row>
    <row r="26" spans="2:6" x14ac:dyDescent="0.2">
      <c r="B26" s="3" t="s">
        <v>35</v>
      </c>
      <c r="C26" s="11">
        <f>-C46*(1-C16)</f>
        <v>-4.7308201161667824</v>
      </c>
      <c r="E26" s="3" t="s">
        <v>35</v>
      </c>
      <c r="F26" s="11">
        <f>-F46*(1-F16)</f>
        <v>-13.222404774261255</v>
      </c>
    </row>
    <row r="27" spans="2:6" x14ac:dyDescent="0.2">
      <c r="B27" s="3" t="s">
        <v>36</v>
      </c>
      <c r="C27" s="11">
        <f>-C16*C53</f>
        <v>-0.24705622203236288</v>
      </c>
      <c r="E27" s="3" t="s">
        <v>36</v>
      </c>
      <c r="F27" s="11">
        <f>-F16*F53</f>
        <v>-1.9172108643348136</v>
      </c>
    </row>
    <row r="28" spans="2:6" x14ac:dyDescent="0.2">
      <c r="B28" s="18" t="s">
        <v>44</v>
      </c>
      <c r="C28" s="19">
        <f>C25+C26+C27</f>
        <v>10.022123661800855</v>
      </c>
      <c r="E28" s="18" t="s">
        <v>44</v>
      </c>
      <c r="F28" s="19">
        <f>F25+F26+F27</f>
        <v>14.860384361403929</v>
      </c>
    </row>
    <row r="29" spans="2:6" x14ac:dyDescent="0.2">
      <c r="B29" s="18" t="s">
        <v>45</v>
      </c>
      <c r="C29" s="20">
        <f>C28/C13</f>
        <v>1.0022123661800855</v>
      </c>
      <c r="E29" s="18" t="s">
        <v>45</v>
      </c>
      <c r="F29" s="20">
        <f>F28/F13</f>
        <v>1.4860384361403929</v>
      </c>
    </row>
    <row r="32" spans="2:6" x14ac:dyDescent="0.2">
      <c r="B32" s="18" t="s">
        <v>46</v>
      </c>
      <c r="C32" s="19">
        <f>C25-C28</f>
        <v>4.9778763381991453</v>
      </c>
      <c r="E32" s="18" t="s">
        <v>46</v>
      </c>
      <c r="F32" s="19">
        <f>F25-F28</f>
        <v>15.139615638596071</v>
      </c>
    </row>
    <row r="33" spans="2:6" x14ac:dyDescent="0.2">
      <c r="B33" s="18" t="s">
        <v>47</v>
      </c>
      <c r="C33" s="20">
        <f>C32/C14</f>
        <v>0.33185842254660969</v>
      </c>
      <c r="E33" s="18" t="s">
        <v>47</v>
      </c>
      <c r="F33" s="20">
        <f>F32/F14</f>
        <v>1.009307709239738</v>
      </c>
    </row>
    <row r="35" spans="2:6" s="17" customFormat="1" x14ac:dyDescent="0.2"/>
    <row r="36" spans="2:6" s="17" customFormat="1" x14ac:dyDescent="0.2"/>
    <row r="37" spans="2:6" s="17" customFormat="1" x14ac:dyDescent="0.2"/>
    <row r="38" spans="2:6" s="17" customFormat="1" x14ac:dyDescent="0.2">
      <c r="B38" s="24"/>
      <c r="C38" s="24"/>
    </row>
    <row r="39" spans="2:6" s="17" customFormat="1" x14ac:dyDescent="0.2">
      <c r="B39" s="37" t="s">
        <v>21</v>
      </c>
      <c r="C39" s="37"/>
      <c r="D39" s="37"/>
      <c r="E39" s="37"/>
      <c r="F39" s="37"/>
    </row>
    <row r="40" spans="2:6" s="17" customFormat="1" x14ac:dyDescent="0.2">
      <c r="B40" s="34"/>
      <c r="C40" s="34"/>
      <c r="D40" s="34"/>
      <c r="E40" s="34"/>
      <c r="F40" s="34"/>
    </row>
    <row r="41" spans="2:6" s="17" customFormat="1" ht="16" x14ac:dyDescent="0.2">
      <c r="B41" s="38" t="s">
        <v>31</v>
      </c>
      <c r="C41" s="38"/>
      <c r="D41" s="34"/>
      <c r="E41" s="38" t="s">
        <v>31</v>
      </c>
      <c r="F41" s="38"/>
    </row>
    <row r="42" spans="2:6" s="17" customFormat="1" ht="16" x14ac:dyDescent="0.2">
      <c r="B42" s="32" t="s">
        <v>1</v>
      </c>
      <c r="C42" s="33">
        <f>LN((C6*EXP(-LN(C9+1)*C10))/(C7*EXP(-LN(1+C8)*C10)))/(C11*SQRT(C10))+(C11*SQRT(C10))/2</f>
        <v>1.1507822059823658</v>
      </c>
      <c r="D42" s="34"/>
      <c r="E42" s="32" t="s">
        <v>1</v>
      </c>
      <c r="F42" s="33">
        <f>LN((F6*EXP(-LN(F9+1)*F10))/(F7*EXP(-LN(1+F8)*F10)))/(F11*SQRT(F10))+(F11*SQRT(F10))/2</f>
        <v>2.0172161816822975</v>
      </c>
    </row>
    <row r="43" spans="2:6" s="17" customFormat="1" ht="16" x14ac:dyDescent="0.2">
      <c r="B43" s="32" t="s">
        <v>2</v>
      </c>
      <c r="C43" s="33">
        <f>C42-C11*SQRT(C10)</f>
        <v>0.35078220598236576</v>
      </c>
      <c r="D43" s="34"/>
      <c r="E43" s="32" t="s">
        <v>2</v>
      </c>
      <c r="F43" s="33">
        <f>F42-F11*SQRT(F10)</f>
        <v>1.2172161816822975</v>
      </c>
    </row>
    <row r="44" spans="2:6" s="17" customFormat="1" ht="16" x14ac:dyDescent="0.2">
      <c r="B44" s="32" t="s">
        <v>3</v>
      </c>
      <c r="C44" s="33">
        <f>NORMSDIST(C42)</f>
        <v>0.87508907649877155</v>
      </c>
      <c r="D44" s="34"/>
      <c r="E44" s="32" t="s">
        <v>3</v>
      </c>
      <c r="F44" s="33">
        <f>NORMSDIST(F42)</f>
        <v>0.97816352093932324</v>
      </c>
    </row>
    <row r="45" spans="2:6" s="17" customFormat="1" ht="16" x14ac:dyDescent="0.2">
      <c r="B45" s="32" t="s">
        <v>4</v>
      </c>
      <c r="C45" s="33">
        <f>NORMSDIST(C43)</f>
        <v>0.63712412621540249</v>
      </c>
      <c r="D45" s="34"/>
      <c r="E45" s="32" t="s">
        <v>4</v>
      </c>
      <c r="F45" s="33">
        <f>NORMSDIST(F43)</f>
        <v>0.88823901248052739</v>
      </c>
    </row>
    <row r="46" spans="2:6" s="17" customFormat="1" x14ac:dyDescent="0.2">
      <c r="B46" s="35" t="s">
        <v>5</v>
      </c>
      <c r="C46" s="36">
        <f>C6*EXP(-LN(1+C9)*C10)*C44-C7*EXP(-LN(1+C8)*C10)*C45</f>
        <v>7.8847001936113044</v>
      </c>
      <c r="D46" s="34"/>
      <c r="E46" s="35" t="s">
        <v>5</v>
      </c>
      <c r="F46" s="36">
        <f>F6*EXP(-LN(1+F9)*F10)*F44-F7*EXP(-LN(1+F8)*F10)*F45</f>
        <v>22.037341290435425</v>
      </c>
    </row>
    <row r="47" spans="2:6" s="17" customFormat="1" x14ac:dyDescent="0.2">
      <c r="B47" s="39"/>
      <c r="C47" s="31"/>
      <c r="D47" s="31"/>
      <c r="E47" s="39"/>
      <c r="F47" s="31"/>
    </row>
    <row r="48" spans="2:6" ht="16" x14ac:dyDescent="0.2">
      <c r="B48" s="38" t="s">
        <v>38</v>
      </c>
      <c r="C48" s="38"/>
      <c r="D48" s="34"/>
      <c r="E48" s="38" t="s">
        <v>38</v>
      </c>
      <c r="F48" s="38"/>
    </row>
    <row r="49" spans="2:6" ht="16" x14ac:dyDescent="0.2">
      <c r="B49" s="32" t="s">
        <v>1</v>
      </c>
      <c r="C49" s="33">
        <f>LN((C6*EXP(-LN(C9+1)*C10))/(C19*EXP(-LN(1+C8)*C10)))/(C11*SQRT(C10))+(C11*SQRT(C10))/2</f>
        <v>-1.0889171305527028</v>
      </c>
      <c r="D49" s="34"/>
      <c r="E49" s="32" t="s">
        <v>1</v>
      </c>
      <c r="F49" s="33">
        <f>LN((F6*EXP(-LN(F9+1)*F10))/(F19*EXP(-LN(1+F8)*F10)))/(F11*SQRT(F10))+(F11*SQRT(F10))/2</f>
        <v>-0.22248315485277126</v>
      </c>
    </row>
    <row r="50" spans="2:6" ht="16" x14ac:dyDescent="0.2">
      <c r="B50" s="32" t="s">
        <v>2</v>
      </c>
      <c r="C50" s="33">
        <f>C49-C11*SQRT(C10)</f>
        <v>-1.8889171305527028</v>
      </c>
      <c r="D50" s="34"/>
      <c r="E50" s="32" t="s">
        <v>2</v>
      </c>
      <c r="F50" s="33">
        <f>F49-F11*SQRT(F10)</f>
        <v>-1.0224831548527713</v>
      </c>
    </row>
    <row r="51" spans="2:6" ht="16" x14ac:dyDescent="0.2">
      <c r="B51" s="32" t="s">
        <v>3</v>
      </c>
      <c r="C51" s="33">
        <f>NORMSDIST(C49)</f>
        <v>0.13809521562250879</v>
      </c>
      <c r="D51" s="34"/>
      <c r="E51" s="32" t="s">
        <v>3</v>
      </c>
      <c r="F51" s="33">
        <f>NORMSDIST(F49)</f>
        <v>0.41196889258304314</v>
      </c>
    </row>
    <row r="52" spans="2:6" ht="16" x14ac:dyDescent="0.2">
      <c r="B52" s="32" t="s">
        <v>4</v>
      </c>
      <c r="C52" s="33">
        <f>NORMSDIST(C50)</f>
        <v>2.945146683849241E-2</v>
      </c>
      <c r="D52" s="34"/>
      <c r="E52" s="32" t="s">
        <v>4</v>
      </c>
      <c r="F52" s="33">
        <f>NORMSDIST(F50)</f>
        <v>0.15327614069651432</v>
      </c>
    </row>
    <row r="53" spans="2:6" x14ac:dyDescent="0.2">
      <c r="B53" s="35" t="s">
        <v>5</v>
      </c>
      <c r="C53" s="36">
        <f>C6*EXP(-LN(1+C9)*C10)*C51-C19*EXP(-LN(1+C8)*C10)*C52</f>
        <v>0.61764055508090721</v>
      </c>
      <c r="D53" s="34"/>
      <c r="E53" s="35" t="s">
        <v>5</v>
      </c>
      <c r="F53" s="36">
        <f>F6*EXP(-LN(1+F9)*F10)*F51-F19*EXP(-LN(1+F8)*F10)*F52</f>
        <v>4.7930271608370338</v>
      </c>
    </row>
  </sheetData>
  <mergeCells count="12">
    <mergeCell ref="B4:C4"/>
    <mergeCell ref="E4:F4"/>
    <mergeCell ref="B22:C22"/>
    <mergeCell ref="E22:F22"/>
    <mergeCell ref="B24:C24"/>
    <mergeCell ref="E24:F24"/>
    <mergeCell ref="B39:F39"/>
    <mergeCell ref="B41:C41"/>
    <mergeCell ref="E41:F41"/>
    <mergeCell ref="B48:C48"/>
    <mergeCell ref="E48:F48"/>
    <mergeCell ref="B2:F2"/>
  </mergeCells>
  <phoneticPr fontId="11" type="noConversion"/>
  <pageMargins left="0.7" right="0.7" top="0.75" bottom="0.75" header="0.3" footer="0.3"/>
  <pageSetup paperSize="9" scale="57" orientation="portrait" r:id="rId1"/>
  <headerFooter>
    <oddFooter>&amp;L&amp;"Calibri,Regular"&amp;K000000copyright tebu finance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F62"/>
  <sheetViews>
    <sheetView topLeftCell="A3" workbookViewId="0">
      <selection activeCell="D29" sqref="D29"/>
    </sheetView>
  </sheetViews>
  <sheetFormatPr baseColWidth="10" defaultColWidth="8.83203125" defaultRowHeight="15" x14ac:dyDescent="0.2"/>
  <cols>
    <col min="1" max="1" width="8.83203125" style="1"/>
    <col min="2" max="2" width="49" style="1" bestFit="1" customWidth="1"/>
    <col min="3" max="3" width="13.33203125" style="1" customWidth="1"/>
    <col min="4" max="4" width="14.33203125" style="1" customWidth="1"/>
    <col min="5" max="5" width="49" style="1" bestFit="1" customWidth="1"/>
    <col min="6" max="6" width="15.1640625" style="1" customWidth="1"/>
    <col min="7" max="7" width="8.83203125" style="1"/>
    <col min="8" max="8" width="9.33203125" style="1" bestFit="1" customWidth="1"/>
    <col min="9" max="9" width="8.83203125" style="1"/>
    <col min="10" max="10" width="10.33203125" style="1" bestFit="1" customWidth="1"/>
    <col min="11" max="11" width="9.33203125" style="1" bestFit="1" customWidth="1"/>
    <col min="12" max="12" width="8.83203125" style="1"/>
    <col min="13" max="14" width="9.33203125" style="1" bestFit="1" customWidth="1"/>
    <col min="15" max="248" width="8.83203125" style="1"/>
    <col min="249" max="249" width="10.5" style="1" customWidth="1"/>
    <col min="250" max="250" width="16.33203125" style="1" customWidth="1"/>
    <col min="251" max="251" width="10.33203125" style="1" bestFit="1" customWidth="1"/>
    <col min="252" max="252" width="13.33203125" style="1" customWidth="1"/>
    <col min="253" max="254" width="9.5" style="1" bestFit="1" customWidth="1"/>
    <col min="255" max="16384" width="8.83203125" style="1"/>
  </cols>
  <sheetData>
    <row r="2" spans="2:6" x14ac:dyDescent="0.2">
      <c r="B2" s="50" t="s">
        <v>56</v>
      </c>
      <c r="C2" s="51"/>
      <c r="D2" s="51"/>
      <c r="E2" s="51"/>
      <c r="F2" s="52"/>
    </row>
    <row r="4" spans="2:6" x14ac:dyDescent="0.2">
      <c r="B4" s="53" t="s">
        <v>18</v>
      </c>
      <c r="C4" s="54"/>
      <c r="E4" s="53" t="s">
        <v>19</v>
      </c>
      <c r="F4" s="54"/>
    </row>
    <row r="6" spans="2:6" x14ac:dyDescent="0.2">
      <c r="B6" s="4" t="s">
        <v>11</v>
      </c>
      <c r="C6" s="42">
        <v>15</v>
      </c>
      <c r="E6" s="4" t="s">
        <v>11</v>
      </c>
      <c r="F6" s="42">
        <v>30</v>
      </c>
    </row>
    <row r="7" spans="2:6" x14ac:dyDescent="0.2">
      <c r="B7" s="4" t="s">
        <v>13</v>
      </c>
      <c r="C7" s="43">
        <v>9.5</v>
      </c>
      <c r="E7" s="4" t="s">
        <v>13</v>
      </c>
      <c r="F7" s="43">
        <f>C7</f>
        <v>9.5</v>
      </c>
    </row>
    <row r="8" spans="2:6" x14ac:dyDescent="0.2">
      <c r="B8" s="4" t="s">
        <v>12</v>
      </c>
      <c r="C8" s="44">
        <v>0.05</v>
      </c>
      <c r="E8" s="4" t="s">
        <v>12</v>
      </c>
      <c r="F8" s="44">
        <f t="shared" ref="F8:F15" si="0">C8</f>
        <v>0.05</v>
      </c>
    </row>
    <row r="9" spans="2:6" x14ac:dyDescent="0.2">
      <c r="B9" s="4" t="s">
        <v>6</v>
      </c>
      <c r="C9" s="44">
        <v>0</v>
      </c>
      <c r="E9" s="4" t="s">
        <v>6</v>
      </c>
      <c r="F9" s="44">
        <f t="shared" si="0"/>
        <v>0</v>
      </c>
    </row>
    <row r="10" spans="2:6" x14ac:dyDescent="0.2">
      <c r="B10" s="4" t="s">
        <v>0</v>
      </c>
      <c r="C10" s="45">
        <v>4</v>
      </c>
      <c r="E10" s="4" t="s">
        <v>0</v>
      </c>
      <c r="F10" s="45">
        <f t="shared" si="0"/>
        <v>4</v>
      </c>
    </row>
    <row r="11" spans="2:6" x14ac:dyDescent="0.2">
      <c r="B11" s="4" t="s">
        <v>7</v>
      </c>
      <c r="C11" s="44">
        <v>0.4</v>
      </c>
      <c r="E11" s="4" t="s">
        <v>7</v>
      </c>
      <c r="F11" s="44">
        <f t="shared" si="0"/>
        <v>0.4</v>
      </c>
    </row>
    <row r="12" spans="2:6" ht="16" x14ac:dyDescent="0.2">
      <c r="B12"/>
      <c r="C12"/>
      <c r="F12"/>
    </row>
    <row r="13" spans="2:6" x14ac:dyDescent="0.2">
      <c r="B13" s="4" t="s">
        <v>15</v>
      </c>
      <c r="C13" s="6">
        <v>10</v>
      </c>
      <c r="E13" s="4" t="s">
        <v>15</v>
      </c>
      <c r="F13" s="6">
        <f t="shared" si="0"/>
        <v>10</v>
      </c>
    </row>
    <row r="14" spans="2:6" x14ac:dyDescent="0.2">
      <c r="B14" s="4" t="s">
        <v>14</v>
      </c>
      <c r="C14" s="6">
        <v>15</v>
      </c>
      <c r="E14" s="4" t="s">
        <v>14</v>
      </c>
      <c r="F14" s="6">
        <f t="shared" si="0"/>
        <v>15</v>
      </c>
    </row>
    <row r="15" spans="2:6" x14ac:dyDescent="0.2">
      <c r="B15" s="4" t="s">
        <v>33</v>
      </c>
      <c r="C15" s="6">
        <v>1</v>
      </c>
      <c r="E15" s="4" t="s">
        <v>33</v>
      </c>
      <c r="F15" s="6">
        <f t="shared" si="0"/>
        <v>1</v>
      </c>
    </row>
    <row r="16" spans="2:6" x14ac:dyDescent="0.2">
      <c r="B16" s="4" t="s">
        <v>30</v>
      </c>
      <c r="C16" s="22">
        <f>(C13*C15)/(C13*C15+C14)</f>
        <v>0.4</v>
      </c>
      <c r="E16" s="4" t="s">
        <v>30</v>
      </c>
      <c r="F16" s="22">
        <f>(F13*F15)/(F13*F15+F14)</f>
        <v>0.4</v>
      </c>
    </row>
    <row r="17" spans="2:6" x14ac:dyDescent="0.2">
      <c r="B17" s="40"/>
      <c r="C17" s="41"/>
      <c r="D17" s="23"/>
      <c r="E17" s="40"/>
      <c r="F17" s="41"/>
    </row>
    <row r="18" spans="2:6" x14ac:dyDescent="0.2">
      <c r="B18" s="46" t="s">
        <v>34</v>
      </c>
      <c r="C18" s="6">
        <v>30</v>
      </c>
      <c r="D18" s="23"/>
      <c r="E18" s="46" t="s">
        <v>34</v>
      </c>
      <c r="F18" s="6">
        <f t="shared" ref="F18" si="1">C18</f>
        <v>30</v>
      </c>
    </row>
    <row r="19" spans="2:6" x14ac:dyDescent="0.2">
      <c r="B19" s="4" t="s">
        <v>37</v>
      </c>
      <c r="C19" s="47">
        <f>(C18-C7*(1-C16))/C16</f>
        <v>60.75</v>
      </c>
      <c r="D19" s="23"/>
      <c r="E19" s="4" t="s">
        <v>37</v>
      </c>
      <c r="F19" s="47">
        <f>(F18-F7*(1-F16))/F16</f>
        <v>60.75</v>
      </c>
    </row>
    <row r="20" spans="2:6" x14ac:dyDescent="0.2">
      <c r="B20" s="4" t="s">
        <v>39</v>
      </c>
      <c r="C20" s="47">
        <f>C18/C16</f>
        <v>75</v>
      </c>
      <c r="E20" s="4" t="s">
        <v>39</v>
      </c>
      <c r="F20" s="47">
        <f>F18/F16</f>
        <v>75</v>
      </c>
    </row>
    <row r="23" spans="2:6" x14ac:dyDescent="0.2">
      <c r="B23" s="14" t="s">
        <v>17</v>
      </c>
      <c r="C23" s="14"/>
      <c r="E23" s="14" t="s">
        <v>20</v>
      </c>
      <c r="F23" s="14"/>
    </row>
    <row r="24" spans="2:6" x14ac:dyDescent="0.2">
      <c r="B24" s="9"/>
      <c r="C24" s="9"/>
    </row>
    <row r="25" spans="2:6" x14ac:dyDescent="0.2">
      <c r="B25" s="53" t="s">
        <v>42</v>
      </c>
      <c r="C25" s="54"/>
      <c r="E25" s="53" t="s">
        <v>42</v>
      </c>
      <c r="F25" s="54"/>
    </row>
    <row r="26" spans="2:6" x14ac:dyDescent="0.2">
      <c r="B26" s="3" t="s">
        <v>8</v>
      </c>
      <c r="C26" s="11">
        <f>C6</f>
        <v>15</v>
      </c>
      <c r="E26" s="3" t="s">
        <v>8</v>
      </c>
      <c r="F26" s="11">
        <f>F6</f>
        <v>30</v>
      </c>
    </row>
    <row r="27" spans="2:6" x14ac:dyDescent="0.2">
      <c r="B27" s="3" t="s">
        <v>35</v>
      </c>
      <c r="C27" s="11">
        <f>-C48*(1-C16)</f>
        <v>-4.8909892020817392</v>
      </c>
      <c r="E27" s="3" t="s">
        <v>35</v>
      </c>
      <c r="F27" s="11">
        <f>-F48*(1-F16)</f>
        <v>-13.443085275575537</v>
      </c>
    </row>
    <row r="28" spans="2:6" x14ac:dyDescent="0.2">
      <c r="B28" s="3" t="s">
        <v>36</v>
      </c>
      <c r="C28" s="11">
        <f>-C16*C55</f>
        <v>-0.23991470145452906</v>
      </c>
      <c r="E28" s="3" t="s">
        <v>36</v>
      </c>
      <c r="F28" s="11">
        <f>-F16*F55</f>
        <v>-1.8798324538013536</v>
      </c>
    </row>
    <row r="29" spans="2:6" x14ac:dyDescent="0.2">
      <c r="B29" s="3" t="s">
        <v>41</v>
      </c>
      <c r="C29" s="11">
        <f>C16*C62</f>
        <v>0.14176184639553391</v>
      </c>
      <c r="E29" s="3" t="s">
        <v>41</v>
      </c>
      <c r="F29" s="11">
        <f>F16*F62</f>
        <v>1.3133138903892139</v>
      </c>
    </row>
    <row r="30" spans="2:6" x14ac:dyDescent="0.2">
      <c r="B30" s="18" t="s">
        <v>48</v>
      </c>
      <c r="C30" s="19">
        <f>C26+C27+C28+C29</f>
        <v>10.010857942859266</v>
      </c>
      <c r="E30" s="18" t="s">
        <v>48</v>
      </c>
      <c r="F30" s="19">
        <f>F26+F27+F28+F29</f>
        <v>15.990396161012322</v>
      </c>
    </row>
    <row r="31" spans="2:6" x14ac:dyDescent="0.2">
      <c r="B31" s="18" t="s">
        <v>49</v>
      </c>
      <c r="C31" s="20">
        <f>C30/C13</f>
        <v>1.0010857942859266</v>
      </c>
      <c r="E31" s="18" t="s">
        <v>49</v>
      </c>
      <c r="F31" s="20">
        <f>F30/F13</f>
        <v>1.5990396161012321</v>
      </c>
    </row>
    <row r="34" spans="2:6" x14ac:dyDescent="0.2">
      <c r="B34" s="18" t="s">
        <v>46</v>
      </c>
      <c r="C34" s="19">
        <f>C26-C30</f>
        <v>4.9891420571407341</v>
      </c>
      <c r="E34" s="18" t="s">
        <v>46</v>
      </c>
      <c r="F34" s="19">
        <f>F26-F30</f>
        <v>14.009603838987678</v>
      </c>
    </row>
    <row r="35" spans="2:6" x14ac:dyDescent="0.2">
      <c r="B35" s="18" t="s">
        <v>47</v>
      </c>
      <c r="C35" s="20">
        <f>C34/C14</f>
        <v>0.33260947047604894</v>
      </c>
      <c r="E35" s="18" t="s">
        <v>47</v>
      </c>
      <c r="F35" s="20">
        <f>F34/F14</f>
        <v>0.93397358926584517</v>
      </c>
    </row>
    <row r="37" spans="2:6" x14ac:dyDescent="0.2">
      <c r="B37" s="17"/>
      <c r="C37" s="17"/>
      <c r="D37" s="17"/>
      <c r="E37" s="17"/>
      <c r="F37" s="17"/>
    </row>
    <row r="38" spans="2:6" x14ac:dyDescent="0.2">
      <c r="B38" s="17"/>
      <c r="C38" s="17"/>
      <c r="D38" s="17"/>
      <c r="E38" s="17"/>
      <c r="F38" s="17"/>
    </row>
    <row r="39" spans="2:6" x14ac:dyDescent="0.2">
      <c r="B39" s="17"/>
      <c r="C39" s="17"/>
      <c r="D39" s="17"/>
      <c r="E39" s="17"/>
      <c r="F39" s="17"/>
    </row>
    <row r="40" spans="2:6" x14ac:dyDescent="0.2">
      <c r="B40" s="24"/>
      <c r="C40" s="24"/>
      <c r="D40" s="17"/>
      <c r="E40" s="17"/>
      <c r="F40" s="17"/>
    </row>
    <row r="41" spans="2:6" x14ac:dyDescent="0.2">
      <c r="B41" s="37" t="s">
        <v>21</v>
      </c>
      <c r="C41" s="37"/>
      <c r="D41" s="37"/>
      <c r="E41" s="37"/>
      <c r="F41" s="37"/>
    </row>
    <row r="42" spans="2:6" x14ac:dyDescent="0.2">
      <c r="B42" s="34"/>
      <c r="C42" s="34"/>
      <c r="D42" s="34"/>
      <c r="E42" s="34"/>
      <c r="F42" s="34"/>
    </row>
    <row r="43" spans="2:6" ht="16" x14ac:dyDescent="0.2">
      <c r="B43" s="38" t="s">
        <v>31</v>
      </c>
      <c r="C43" s="38"/>
      <c r="D43" s="34"/>
      <c r="E43" s="38" t="s">
        <v>31</v>
      </c>
      <c r="F43" s="38"/>
    </row>
    <row r="44" spans="2:6" ht="16" x14ac:dyDescent="0.2">
      <c r="B44" s="32" t="s">
        <v>1</v>
      </c>
      <c r="C44" s="33">
        <f>LN((C6*EXP(-LN(C9+1)*C10))/(C7*EXP(-LN(1+C8)*C10)))/(C11*SQRT(C10))+(C11*SQRT(C10))/2</f>
        <v>1.2148988239668039</v>
      </c>
      <c r="D44" s="34"/>
      <c r="E44" s="32" t="s">
        <v>1</v>
      </c>
      <c r="F44" s="33">
        <f>LN((F6*EXP(-LN(F9+1)*F10))/(F7*EXP(-LN(1+F8)*F10)))/(F11*SQRT(F10))+(F11*SQRT(F10))/2</f>
        <v>2.0813327996667352</v>
      </c>
    </row>
    <row r="45" spans="2:6" ht="16" x14ac:dyDescent="0.2">
      <c r="B45" s="32" t="s">
        <v>2</v>
      </c>
      <c r="C45" s="33">
        <f>C44-C11*SQRT(C10)</f>
        <v>0.41489882396680389</v>
      </c>
      <c r="D45" s="34"/>
      <c r="E45" s="32" t="s">
        <v>2</v>
      </c>
      <c r="F45" s="33">
        <f>F44-F11*SQRT(F10)</f>
        <v>1.2813327996667352</v>
      </c>
    </row>
    <row r="46" spans="2:6" ht="16" x14ac:dyDescent="0.2">
      <c r="B46" s="32" t="s">
        <v>3</v>
      </c>
      <c r="C46" s="33">
        <f>NORMSDIST(C44)</f>
        <v>0.88779765880087025</v>
      </c>
      <c r="D46" s="34"/>
      <c r="E46" s="32" t="s">
        <v>3</v>
      </c>
      <c r="F46" s="33">
        <f>NORMSDIST(F44)</f>
        <v>0.98129827252823909</v>
      </c>
    </row>
    <row r="47" spans="2:6" ht="16" x14ac:dyDescent="0.2">
      <c r="B47" s="32" t="s">
        <v>4</v>
      </c>
      <c r="C47" s="33">
        <f>NORMSDIST(C45)</f>
        <v>0.66089201460658964</v>
      </c>
      <c r="D47" s="34"/>
      <c r="E47" s="32" t="s">
        <v>4</v>
      </c>
      <c r="F47" s="33">
        <f>NORMSDIST(F45)</f>
        <v>0.89996160157122174</v>
      </c>
    </row>
    <row r="48" spans="2:6" x14ac:dyDescent="0.2">
      <c r="B48" s="35" t="s">
        <v>5</v>
      </c>
      <c r="C48" s="36">
        <f>C6*EXP(-LN(1+C9)*C10)*C46-C7*EXP(-LN(1+C8)*C10)*C47</f>
        <v>8.1516486701362325</v>
      </c>
      <c r="D48" s="34"/>
      <c r="E48" s="35" t="s">
        <v>5</v>
      </c>
      <c r="F48" s="36">
        <f>F6*EXP(-LN(1+F9)*F10)*F46-F7*EXP(-LN(1+F8)*F10)*F47</f>
        <v>22.40514212595923</v>
      </c>
    </row>
    <row r="49" spans="2:6" x14ac:dyDescent="0.2">
      <c r="B49" s="39"/>
      <c r="C49" s="31"/>
      <c r="D49" s="31"/>
      <c r="E49" s="39"/>
      <c r="F49" s="31"/>
    </row>
    <row r="50" spans="2:6" ht="16" x14ac:dyDescent="0.2">
      <c r="B50" s="38" t="s">
        <v>38</v>
      </c>
      <c r="C50" s="38"/>
      <c r="D50" s="34"/>
      <c r="E50" s="38" t="s">
        <v>38</v>
      </c>
      <c r="F50" s="38"/>
    </row>
    <row r="51" spans="2:6" ht="16" x14ac:dyDescent="0.2">
      <c r="B51" s="32" t="s">
        <v>1</v>
      </c>
      <c r="C51" s="33">
        <f>LN((C6*EXP(-LN(C9+1)*C10))/(C19*EXP(-LN(1+C8)*C10)))/(C11*SQRT(C10))+(C11*SQRT(C10))/2</f>
        <v>-1.1044452805508995</v>
      </c>
      <c r="D51" s="34"/>
      <c r="E51" s="32" t="s">
        <v>1</v>
      </c>
      <c r="F51" s="33">
        <f>LN((F6*EXP(-LN(F9+1)*F10))/(F19*EXP(-LN(1+F8)*F10)))/(F11*SQRT(F10))+(F11*SQRT(F10))/2</f>
        <v>-0.23801130485096789</v>
      </c>
    </row>
    <row r="52" spans="2:6" ht="16" x14ac:dyDescent="0.2">
      <c r="B52" s="32" t="s">
        <v>2</v>
      </c>
      <c r="C52" s="33">
        <f>C51-C11*SQRT(C10)</f>
        <v>-1.9044452805508996</v>
      </c>
      <c r="D52" s="34"/>
      <c r="E52" s="32" t="s">
        <v>2</v>
      </c>
      <c r="F52" s="33">
        <f>F51-F11*SQRT(F10)</f>
        <v>-1.038011304850968</v>
      </c>
    </row>
    <row r="53" spans="2:6" ht="16" x14ac:dyDescent="0.2">
      <c r="B53" s="32" t="s">
        <v>3</v>
      </c>
      <c r="C53" s="33">
        <f>NORMSDIST(C51)</f>
        <v>0.13470001390377281</v>
      </c>
      <c r="D53" s="34"/>
      <c r="E53" s="32" t="s">
        <v>3</v>
      </c>
      <c r="F53" s="33">
        <f>NORMSDIST(F51)</f>
        <v>0.4059361630639533</v>
      </c>
    </row>
    <row r="54" spans="2:6" ht="16" x14ac:dyDescent="0.2">
      <c r="B54" s="32" t="s">
        <v>4</v>
      </c>
      <c r="C54" s="33">
        <f>NORMSDIST(C52)</f>
        <v>2.8426108377196394E-2</v>
      </c>
      <c r="D54" s="34"/>
      <c r="E54" s="32" t="s">
        <v>4</v>
      </c>
      <c r="F54" s="33">
        <f>NORMSDIST(F52)</f>
        <v>0.14963239601294945</v>
      </c>
    </row>
    <row r="55" spans="2:6" x14ac:dyDescent="0.2">
      <c r="B55" s="35" t="s">
        <v>5</v>
      </c>
      <c r="C55" s="36">
        <f>C6*EXP(-LN(1+C9)*C10)*C53-C19*EXP(-LN(1+C8)*C10)*C54</f>
        <v>0.59978675363632261</v>
      </c>
      <c r="D55" s="34"/>
      <c r="E55" s="35" t="s">
        <v>5</v>
      </c>
      <c r="F55" s="36">
        <f>F6*EXP(-LN(1+F9)*F10)*F53-F19*EXP(-LN(1+F8)*F10)*F54</f>
        <v>4.6995811345033838</v>
      </c>
    </row>
    <row r="56" spans="2:6" x14ac:dyDescent="0.2">
      <c r="B56" s="34"/>
      <c r="C56" s="34"/>
      <c r="D56" s="34"/>
      <c r="E56" s="34"/>
      <c r="F56" s="34"/>
    </row>
    <row r="57" spans="2:6" ht="16" x14ac:dyDescent="0.2">
      <c r="B57" s="38" t="s">
        <v>40</v>
      </c>
      <c r="C57" s="38"/>
      <c r="D57" s="34"/>
      <c r="E57" s="38" t="s">
        <v>40</v>
      </c>
      <c r="F57" s="38"/>
    </row>
    <row r="58" spans="2:6" ht="16" x14ac:dyDescent="0.2">
      <c r="B58" s="32" t="s">
        <v>1</v>
      </c>
      <c r="C58" s="33">
        <f>LN((C6*EXP(-LN(C9+1)*C10))/(C20*EXP(-LN(1+C8)*C10)))/(C11*SQRT(C10))+(C11*SQRT(C10))/2</f>
        <v>-1.3678465696954651</v>
      </c>
      <c r="D58" s="34"/>
      <c r="E58" s="32" t="s">
        <v>1</v>
      </c>
      <c r="F58" s="33">
        <f>LN((F6*EXP(-LN(F9+1)*F10))/(F20*EXP(-LN(1+F8)*F10)))/(F11*SQRT(F10))+(F11*SQRT(F10))/2</f>
        <v>-0.50141259399553362</v>
      </c>
    </row>
    <row r="59" spans="2:6" ht="16" x14ac:dyDescent="0.2">
      <c r="B59" s="32" t="s">
        <v>2</v>
      </c>
      <c r="C59" s="33">
        <f>C58-C11*SQRT(C10)</f>
        <v>-2.167846569695465</v>
      </c>
      <c r="D59" s="34"/>
      <c r="E59" s="32" t="s">
        <v>2</v>
      </c>
      <c r="F59" s="33">
        <f>F58-F11*SQRT(F10)</f>
        <v>-1.3014125939955337</v>
      </c>
    </row>
    <row r="60" spans="2:6" ht="16" x14ac:dyDescent="0.2">
      <c r="B60" s="32" t="s">
        <v>3</v>
      </c>
      <c r="C60" s="33">
        <f>NORMSDIST(C58)</f>
        <v>8.5680053586865854E-2</v>
      </c>
      <c r="D60" s="34"/>
      <c r="E60" s="32" t="s">
        <v>3</v>
      </c>
      <c r="F60" s="33">
        <f>NORMSDIST(F58)</f>
        <v>0.30804038911303711</v>
      </c>
    </row>
    <row r="61" spans="2:6" ht="16" x14ac:dyDescent="0.2">
      <c r="B61" s="32" t="s">
        <v>4</v>
      </c>
      <c r="C61" s="33">
        <f>NORMSDIST(C59)</f>
        <v>1.5085181116857027E-2</v>
      </c>
      <c r="D61" s="34"/>
      <c r="E61" s="32" t="s">
        <v>4</v>
      </c>
      <c r="F61" s="33">
        <f>NORMSDIST(F59)</f>
        <v>9.6558632555067969E-2</v>
      </c>
    </row>
    <row r="62" spans="2:6" x14ac:dyDescent="0.2">
      <c r="B62" s="35" t="s">
        <v>5</v>
      </c>
      <c r="C62" s="36">
        <f>C6*EXP(-LN(1+C9)*C10)*C60-C20*EXP(-LN(1+C8)*C10)*C61</f>
        <v>0.35440461598883477</v>
      </c>
      <c r="D62" s="34"/>
      <c r="E62" s="35" t="s">
        <v>5</v>
      </c>
      <c r="F62" s="36">
        <f>F6*EXP(-LN(1+F9)*F10)*F60-F20*EXP(-LN(1+F8)*F10)*F61</f>
        <v>3.2832847259730347</v>
      </c>
    </row>
  </sheetData>
  <mergeCells count="14">
    <mergeCell ref="B57:C57"/>
    <mergeCell ref="E57:F57"/>
    <mergeCell ref="B2:F2"/>
    <mergeCell ref="B41:F41"/>
    <mergeCell ref="B43:C43"/>
    <mergeCell ref="E43:F43"/>
    <mergeCell ref="B50:C50"/>
    <mergeCell ref="E50:F50"/>
    <mergeCell ref="B4:C4"/>
    <mergeCell ref="E4:F4"/>
    <mergeCell ref="B23:C23"/>
    <mergeCell ref="E23:F23"/>
    <mergeCell ref="B25:C25"/>
    <mergeCell ref="E25:F25"/>
  </mergeCells>
  <phoneticPr fontId="11" type="noConversion"/>
  <pageMargins left="0.7" right="0.7" top="0.75" bottom="0.75" header="0.3" footer="0.3"/>
  <pageSetup paperSize="9" scale="58" orientation="portrait" r:id="rId1"/>
  <headerFooter>
    <oddFooter>&amp;L&amp;"Calibri,Regular"&amp;K000000Copyright tebu finance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Common Equity</vt:lpstr>
      <vt:lpstr>Straight preferred</vt:lpstr>
      <vt:lpstr>Convertible Preferred</vt:lpstr>
      <vt:lpstr>Participating Preferred (Full)</vt:lpstr>
      <vt:lpstr>Participating Preferred (Cap)</vt:lpstr>
      <vt:lpstr>Convert. Part. Pref. (Cap)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Microsoft Office User</cp:lastModifiedBy>
  <dcterms:created xsi:type="dcterms:W3CDTF">2015-03-30T17:23:31Z</dcterms:created>
  <dcterms:modified xsi:type="dcterms:W3CDTF">2017-04-11T00:33:08Z</dcterms:modified>
</cp:coreProperties>
</file>