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65" windowWidth="29040" windowHeight="18240" firstSheet="2" activeTab="3"/>
  </bookViews>
  <sheets>
    <sheet name="Balance Sheet (USD)" sheetId="2" r:id="rId1"/>
    <sheet name="Balance Sheet (common size)" sheetId="5" r:id="rId2"/>
    <sheet name="Income Statement (USD 1'000)" sheetId="1" r:id="rId3"/>
    <sheet name="Income Statement (common size)" sheetId="6" r:id="rId4"/>
    <sheet name="Ratios" sheetId="4" r:id="rId5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0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Pal_Workbook_GUID" hidden="1">"1DGS3VL6421SN279PMV2WPBH"</definedName>
    <definedName name="_xlnm.Print_Area" localSheetId="1">'Balance Sheet (common size)'!$B$2:$H$83</definedName>
    <definedName name="_xlnm.Print_Area" localSheetId="0">'Balance Sheet (USD)'!$B$2:$H$44</definedName>
    <definedName name="_xlnm.Print_Area" localSheetId="3">'Income Statement (common size)'!$B$4:$H$20</definedName>
    <definedName name="_xlnm.Print_Area" localSheetId="2">'Income Statement (USD 1''000)'!$B$3:$H$31</definedName>
    <definedName name="_xlnm.Print_Area" localSheetId="4">Ratios!$B:$G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7" i="4" l="1"/>
  <c r="E67" i="4"/>
  <c r="F67" i="4"/>
  <c r="G67" i="4"/>
  <c r="C67" i="4"/>
  <c r="D63" i="4"/>
  <c r="E63" i="4"/>
  <c r="F63" i="4"/>
  <c r="G63" i="4"/>
  <c r="D66" i="4"/>
  <c r="E66" i="4"/>
  <c r="F66" i="4"/>
  <c r="G66" i="4"/>
  <c r="C66" i="4"/>
  <c r="C63" i="4"/>
  <c r="D61" i="4"/>
  <c r="E61" i="4"/>
  <c r="F61" i="4"/>
  <c r="G61" i="4"/>
  <c r="D62" i="4"/>
  <c r="E62" i="4"/>
  <c r="F62" i="4"/>
  <c r="G62" i="4"/>
  <c r="C61" i="4"/>
  <c r="C62" i="4"/>
  <c r="B44" i="5" l="1"/>
  <c r="D27" i="1"/>
  <c r="E27" i="1"/>
  <c r="F27" i="1"/>
  <c r="G27" i="1"/>
  <c r="H27" i="1"/>
  <c r="E18" i="4"/>
  <c r="E26" i="4" s="1"/>
  <c r="D17" i="4"/>
  <c r="D25" i="4" s="1"/>
  <c r="D19" i="4"/>
  <c r="D27" i="4" s="1"/>
  <c r="D18" i="4"/>
  <c r="D26" i="4" s="1"/>
  <c r="E17" i="4"/>
  <c r="E25" i="4" s="1"/>
  <c r="E19" i="4"/>
  <c r="E27" i="4" s="1"/>
  <c r="F17" i="4"/>
  <c r="F25" i="4" s="1"/>
  <c r="F19" i="4"/>
  <c r="F27" i="4" s="1"/>
  <c r="F18" i="4"/>
  <c r="F26" i="4" s="1"/>
  <c r="G17" i="4"/>
  <c r="G25" i="4" s="1"/>
  <c r="G19" i="4"/>
  <c r="G27" i="4" s="1"/>
  <c r="G18" i="4"/>
  <c r="G26" i="4" s="1"/>
  <c r="C17" i="4"/>
  <c r="C25" i="4" s="1"/>
  <c r="C19" i="4"/>
  <c r="C27" i="4" s="1"/>
  <c r="C18" i="4"/>
  <c r="C26" i="4" s="1"/>
  <c r="H14" i="1"/>
  <c r="H15" i="1"/>
  <c r="H18" i="1"/>
  <c r="H20" i="1"/>
  <c r="D14" i="1"/>
  <c r="D15" i="1"/>
  <c r="D18" i="1"/>
  <c r="D25" i="1"/>
  <c r="D28" i="1"/>
  <c r="C117" i="4"/>
  <c r="E14" i="1"/>
  <c r="E15" i="1"/>
  <c r="E18" i="1"/>
  <c r="E25" i="1"/>
  <c r="E28" i="1"/>
  <c r="D117" i="4"/>
  <c r="F14" i="1"/>
  <c r="F15" i="1"/>
  <c r="F18" i="1"/>
  <c r="F25" i="1"/>
  <c r="F28" i="1"/>
  <c r="E117" i="4"/>
  <c r="E38" i="2"/>
  <c r="E40" i="2"/>
  <c r="E116" i="4"/>
  <c r="E123" i="4" s="1"/>
  <c r="G14" i="1"/>
  <c r="G15" i="1"/>
  <c r="G18" i="1"/>
  <c r="G25" i="1"/>
  <c r="G28" i="1"/>
  <c r="F117" i="4"/>
  <c r="H25" i="1"/>
  <c r="H28" i="1"/>
  <c r="G117" i="4"/>
  <c r="C38" i="2"/>
  <c r="C40" i="2"/>
  <c r="C116" i="4"/>
  <c r="D38" i="2"/>
  <c r="D40" i="2"/>
  <c r="D116" i="4"/>
  <c r="F38" i="2"/>
  <c r="F40" i="2"/>
  <c r="F116" i="4"/>
  <c r="G38" i="2"/>
  <c r="G40" i="2"/>
  <c r="G116" i="4"/>
  <c r="C103" i="4"/>
  <c r="C115" i="4"/>
  <c r="D103" i="4"/>
  <c r="D115" i="4"/>
  <c r="E103" i="4"/>
  <c r="E115" i="4"/>
  <c r="F103" i="4"/>
  <c r="F115" i="4"/>
  <c r="C104" i="4"/>
  <c r="D20" i="1"/>
  <c r="C108" i="4"/>
  <c r="D104" i="4"/>
  <c r="E20" i="1"/>
  <c r="D108" i="4"/>
  <c r="E104" i="4"/>
  <c r="F20" i="1"/>
  <c r="E108" i="4"/>
  <c r="F104" i="4"/>
  <c r="G20" i="1"/>
  <c r="F108" i="4"/>
  <c r="C105" i="4"/>
  <c r="D105" i="4"/>
  <c r="E105" i="4"/>
  <c r="F105" i="4"/>
  <c r="C106" i="4"/>
  <c r="C109" i="4" s="1"/>
  <c r="D106" i="4"/>
  <c r="D109" i="4" s="1"/>
  <c r="E106" i="4"/>
  <c r="E109" i="4" s="1"/>
  <c r="F106" i="4"/>
  <c r="F109" i="4" s="1"/>
  <c r="G105" i="4"/>
  <c r="G104" i="4"/>
  <c r="G108" i="4" s="1"/>
  <c r="C26" i="2"/>
  <c r="C30" i="2"/>
  <c r="C41" i="2"/>
  <c r="D26" i="2"/>
  <c r="D30" i="2"/>
  <c r="D41" i="2"/>
  <c r="C92" i="4"/>
  <c r="E26" i="2"/>
  <c r="E30" i="2"/>
  <c r="E41" i="2"/>
  <c r="D92" i="4"/>
  <c r="F26" i="2"/>
  <c r="F30" i="2"/>
  <c r="F41" i="2"/>
  <c r="E92" i="4"/>
  <c r="G26" i="2"/>
  <c r="G30" i="2"/>
  <c r="G41" i="2"/>
  <c r="F92" i="4"/>
  <c r="H38" i="2"/>
  <c r="H40" i="2"/>
  <c r="H26" i="2"/>
  <c r="H30" i="2"/>
  <c r="H41" i="2"/>
  <c r="G92" i="4"/>
  <c r="C85" i="4"/>
  <c r="D85" i="4"/>
  <c r="E85" i="4"/>
  <c r="F85" i="4"/>
  <c r="C86" i="4"/>
  <c r="D86" i="4"/>
  <c r="E86" i="4"/>
  <c r="F86" i="4"/>
  <c r="C87" i="4"/>
  <c r="D87" i="4"/>
  <c r="E87" i="4"/>
  <c r="F87" i="4"/>
  <c r="G87" i="4"/>
  <c r="G86" i="4"/>
  <c r="G85" i="4"/>
  <c r="C83" i="4"/>
  <c r="D83" i="4"/>
  <c r="E83" i="4"/>
  <c r="F83" i="4"/>
  <c r="G83" i="4"/>
  <c r="C79" i="4"/>
  <c r="D79" i="4"/>
  <c r="E79" i="4"/>
  <c r="F79" i="4"/>
  <c r="G79" i="4"/>
  <c r="C77" i="4"/>
  <c r="D77" i="4"/>
  <c r="E77" i="4"/>
  <c r="F77" i="4"/>
  <c r="G77" i="4"/>
  <c r="C76" i="4"/>
  <c r="D76" i="4"/>
  <c r="E76" i="4"/>
  <c r="F76" i="4"/>
  <c r="G76" i="4"/>
  <c r="C51" i="4"/>
  <c r="D51" i="4"/>
  <c r="E51" i="4"/>
  <c r="F51" i="4"/>
  <c r="C43" i="4"/>
  <c r="D43" i="4"/>
  <c r="E43" i="4"/>
  <c r="F43" i="4"/>
  <c r="C44" i="4"/>
  <c r="D44" i="4"/>
  <c r="E44" i="4"/>
  <c r="F44" i="4"/>
  <c r="G44" i="4"/>
  <c r="G43" i="4"/>
  <c r="G47" i="4"/>
  <c r="F47" i="4"/>
  <c r="E47" i="4"/>
  <c r="D47" i="4"/>
  <c r="C47" i="4"/>
  <c r="F46" i="4"/>
  <c r="E46" i="4"/>
  <c r="D46" i="4"/>
  <c r="C46" i="4"/>
  <c r="G46" i="4"/>
  <c r="C53" i="4"/>
  <c r="D53" i="4"/>
  <c r="E53" i="4"/>
  <c r="F53" i="4"/>
  <c r="C54" i="4"/>
  <c r="D54" i="4"/>
  <c r="E54" i="4"/>
  <c r="F54" i="4"/>
  <c r="G54" i="4"/>
  <c r="G51" i="4"/>
  <c r="G53" i="4"/>
  <c r="C50" i="4"/>
  <c r="D50" i="4"/>
  <c r="E50" i="4"/>
  <c r="F50" i="4"/>
  <c r="G50" i="4"/>
  <c r="C36" i="4"/>
  <c r="C39" i="4" s="1"/>
  <c r="D36" i="4"/>
  <c r="D39" i="4" s="1"/>
  <c r="E36" i="4"/>
  <c r="E39" i="4" s="1"/>
  <c r="F36" i="4"/>
  <c r="F39" i="4" s="1"/>
  <c r="C37" i="4"/>
  <c r="C40" i="4" s="1"/>
  <c r="D37" i="4"/>
  <c r="D40" i="4" s="1"/>
  <c r="E37" i="4"/>
  <c r="E40" i="4" s="1"/>
  <c r="F37" i="4"/>
  <c r="F40" i="4" s="1"/>
  <c r="G37" i="4"/>
  <c r="G40" i="4" s="1"/>
  <c r="G36" i="4"/>
  <c r="G39" i="4" s="1"/>
  <c r="C12" i="2"/>
  <c r="C18" i="2"/>
  <c r="D12" i="2"/>
  <c r="D18" i="2"/>
  <c r="C21" i="4"/>
  <c r="C91" i="4" s="1"/>
  <c r="E12" i="2"/>
  <c r="E18" i="2"/>
  <c r="D21" i="4"/>
  <c r="D91" i="4" s="1"/>
  <c r="F12" i="2"/>
  <c r="F18" i="2"/>
  <c r="E21" i="4"/>
  <c r="E91" i="4" s="1"/>
  <c r="G12" i="2"/>
  <c r="G18" i="2"/>
  <c r="F21" i="4"/>
  <c r="F91" i="4" s="1"/>
  <c r="H12" i="2"/>
  <c r="H18" i="2"/>
  <c r="G21" i="4"/>
  <c r="G91" i="4" s="1"/>
  <c r="C11" i="6"/>
  <c r="D11" i="6"/>
  <c r="E11" i="6"/>
  <c r="F11" i="6"/>
  <c r="G11" i="6"/>
  <c r="H11" i="6"/>
  <c r="C12" i="6"/>
  <c r="D12" i="6"/>
  <c r="E12" i="6"/>
  <c r="F12" i="6"/>
  <c r="G12" i="6"/>
  <c r="H12" i="6"/>
  <c r="C13" i="6"/>
  <c r="D13" i="6"/>
  <c r="E13" i="6"/>
  <c r="F13" i="6"/>
  <c r="G13" i="6"/>
  <c r="H13" i="6"/>
  <c r="C16" i="6"/>
  <c r="D16" i="6"/>
  <c r="E16" i="6"/>
  <c r="F16" i="6"/>
  <c r="G16" i="6"/>
  <c r="H16" i="6"/>
  <c r="C17" i="6"/>
  <c r="D17" i="6"/>
  <c r="E17" i="6"/>
  <c r="F17" i="6"/>
  <c r="G17" i="6"/>
  <c r="H17" i="6"/>
  <c r="C19" i="6"/>
  <c r="D19" i="6"/>
  <c r="E19" i="6"/>
  <c r="F19" i="6"/>
  <c r="G19" i="6"/>
  <c r="H19" i="6"/>
  <c r="D10" i="6"/>
  <c r="E10" i="6"/>
  <c r="F10" i="6"/>
  <c r="G10" i="6"/>
  <c r="H10" i="6"/>
  <c r="C10" i="6"/>
  <c r="D8" i="6"/>
  <c r="E8" i="6"/>
  <c r="F8" i="6"/>
  <c r="G8" i="6"/>
  <c r="H8" i="6"/>
  <c r="C8" i="6"/>
  <c r="C76" i="5"/>
  <c r="D76" i="5"/>
  <c r="E76" i="5"/>
  <c r="F76" i="5"/>
  <c r="G76" i="5"/>
  <c r="H76" i="5"/>
  <c r="C77" i="5"/>
  <c r="D77" i="5"/>
  <c r="E77" i="5"/>
  <c r="F77" i="5"/>
  <c r="G77" i="5"/>
  <c r="H77" i="5"/>
  <c r="C78" i="5"/>
  <c r="D78" i="5"/>
  <c r="E78" i="5"/>
  <c r="F78" i="5"/>
  <c r="G78" i="5"/>
  <c r="H78" i="5"/>
  <c r="C79" i="5"/>
  <c r="D79" i="5"/>
  <c r="E79" i="5"/>
  <c r="F79" i="5"/>
  <c r="G79" i="5"/>
  <c r="H79" i="5"/>
  <c r="C81" i="5"/>
  <c r="D81" i="5"/>
  <c r="E81" i="5"/>
  <c r="F81" i="5"/>
  <c r="G81" i="5"/>
  <c r="H81" i="5"/>
  <c r="H75" i="5"/>
  <c r="G75" i="5"/>
  <c r="F75" i="5"/>
  <c r="E75" i="5"/>
  <c r="D75" i="5"/>
  <c r="C75" i="5"/>
  <c r="H74" i="5"/>
  <c r="G74" i="5"/>
  <c r="F74" i="5"/>
  <c r="E74" i="5"/>
  <c r="D74" i="5"/>
  <c r="C74" i="5"/>
  <c r="H71" i="5"/>
  <c r="G71" i="5"/>
  <c r="F71" i="5"/>
  <c r="E71" i="5"/>
  <c r="D71" i="5"/>
  <c r="C71" i="5"/>
  <c r="H70" i="5"/>
  <c r="G70" i="5"/>
  <c r="F70" i="5"/>
  <c r="E70" i="5"/>
  <c r="D70" i="5"/>
  <c r="C70" i="5"/>
  <c r="H69" i="5"/>
  <c r="G69" i="5"/>
  <c r="F69" i="5"/>
  <c r="E69" i="5"/>
  <c r="D69" i="5"/>
  <c r="C69" i="5"/>
  <c r="H67" i="5"/>
  <c r="G67" i="5"/>
  <c r="F67" i="5"/>
  <c r="E67" i="5"/>
  <c r="D67" i="5"/>
  <c r="C67" i="5"/>
  <c r="H66" i="5"/>
  <c r="G66" i="5"/>
  <c r="F66" i="5"/>
  <c r="E66" i="5"/>
  <c r="D66" i="5"/>
  <c r="C66" i="5"/>
  <c r="H65" i="5"/>
  <c r="G65" i="5"/>
  <c r="F65" i="5"/>
  <c r="E65" i="5"/>
  <c r="D65" i="5"/>
  <c r="C65" i="5"/>
  <c r="H64" i="5"/>
  <c r="G64" i="5"/>
  <c r="F64" i="5"/>
  <c r="E64" i="5"/>
  <c r="D64" i="5"/>
  <c r="C64" i="5"/>
  <c r="H63" i="5"/>
  <c r="G63" i="5"/>
  <c r="F63" i="5"/>
  <c r="E63" i="5"/>
  <c r="D63" i="5"/>
  <c r="C63" i="5"/>
  <c r="C55" i="5"/>
  <c r="D55" i="5"/>
  <c r="E55" i="5"/>
  <c r="F55" i="5"/>
  <c r="G55" i="5"/>
  <c r="H55" i="5"/>
  <c r="C56" i="5"/>
  <c r="D56" i="5"/>
  <c r="E56" i="5"/>
  <c r="F56" i="5"/>
  <c r="G56" i="5"/>
  <c r="H56" i="5"/>
  <c r="C57" i="5"/>
  <c r="D57" i="5"/>
  <c r="E57" i="5"/>
  <c r="F57" i="5"/>
  <c r="G57" i="5"/>
  <c r="H57" i="5"/>
  <c r="C58" i="5"/>
  <c r="D58" i="5"/>
  <c r="E58" i="5"/>
  <c r="F58" i="5"/>
  <c r="G58" i="5"/>
  <c r="H58" i="5"/>
  <c r="C59" i="5"/>
  <c r="D59" i="5"/>
  <c r="E59" i="5"/>
  <c r="F59" i="5"/>
  <c r="G59" i="5"/>
  <c r="H59" i="5"/>
  <c r="C49" i="5"/>
  <c r="D49" i="5"/>
  <c r="E49" i="5"/>
  <c r="F49" i="5"/>
  <c r="G49" i="5"/>
  <c r="H49" i="5"/>
  <c r="C50" i="5"/>
  <c r="D50" i="5"/>
  <c r="E50" i="5"/>
  <c r="F50" i="5"/>
  <c r="G50" i="5"/>
  <c r="H50" i="5"/>
  <c r="C51" i="5"/>
  <c r="D51" i="5"/>
  <c r="E51" i="5"/>
  <c r="F51" i="5"/>
  <c r="G51" i="5"/>
  <c r="H51" i="5"/>
  <c r="C52" i="5"/>
  <c r="D52" i="5"/>
  <c r="E52" i="5"/>
  <c r="F52" i="5"/>
  <c r="G52" i="5"/>
  <c r="H52" i="5"/>
  <c r="C53" i="5"/>
  <c r="D53" i="5"/>
  <c r="E53" i="5"/>
  <c r="F53" i="5"/>
  <c r="G53" i="5"/>
  <c r="H53" i="5"/>
  <c r="D48" i="5"/>
  <c r="E48" i="5"/>
  <c r="F48" i="5"/>
  <c r="G48" i="5"/>
  <c r="H48" i="5"/>
  <c r="C48" i="5"/>
  <c r="D82" i="5"/>
  <c r="C68" i="5"/>
  <c r="D68" i="5"/>
  <c r="C72" i="5"/>
  <c r="D72" i="5"/>
  <c r="C23" i="5"/>
  <c r="D6" i="5"/>
  <c r="E54" i="5"/>
  <c r="G14" i="6"/>
  <c r="H14" i="6"/>
  <c r="G15" i="6"/>
  <c r="F80" i="4"/>
  <c r="C14" i="1"/>
  <c r="C15" i="1"/>
  <c r="C18" i="1"/>
  <c r="C20" i="1"/>
  <c r="C20" i="6"/>
  <c r="D20" i="6"/>
  <c r="C81" i="4"/>
  <c r="C90" i="4" s="1"/>
  <c r="E20" i="6"/>
  <c r="D81" i="4"/>
  <c r="D90" i="4" s="1"/>
  <c r="F14" i="6"/>
  <c r="F82" i="5"/>
  <c r="G80" i="5"/>
  <c r="D8" i="4"/>
  <c r="F68" i="5"/>
  <c r="E72" i="5"/>
  <c r="F72" i="5"/>
  <c r="F7" i="5"/>
  <c r="D123" i="4"/>
  <c r="E83" i="5"/>
  <c r="C83" i="5"/>
  <c r="F54" i="5"/>
  <c r="D54" i="5"/>
  <c r="F60" i="5"/>
  <c r="D60" i="5"/>
  <c r="E68" i="5"/>
  <c r="F80" i="5"/>
  <c r="D80" i="5"/>
  <c r="C7" i="4"/>
  <c r="D7" i="4"/>
  <c r="E9" i="4"/>
  <c r="C9" i="4"/>
  <c r="E8" i="4"/>
  <c r="C8" i="4"/>
  <c r="F83" i="5"/>
  <c r="D83" i="5"/>
  <c r="C54" i="5"/>
  <c r="C60" i="5"/>
  <c r="E82" i="5"/>
  <c r="C82" i="5"/>
  <c r="E80" i="5"/>
  <c r="C80" i="5"/>
  <c r="E7" i="4"/>
  <c r="D9" i="4"/>
  <c r="H18" i="6"/>
  <c r="H20" i="6"/>
  <c r="G81" i="4"/>
  <c r="D18" i="6"/>
  <c r="H15" i="6"/>
  <c r="G80" i="4"/>
  <c r="D15" i="6"/>
  <c r="C80" i="4"/>
  <c r="D14" i="6"/>
  <c r="E18" i="6"/>
  <c r="C18" i="6"/>
  <c r="E15" i="6"/>
  <c r="D80" i="4"/>
  <c r="C15" i="6"/>
  <c r="E14" i="6"/>
  <c r="C14" i="6"/>
  <c r="F6" i="5"/>
  <c r="F21" i="5"/>
  <c r="F30" i="5"/>
  <c r="F28" i="5"/>
  <c r="F26" i="5"/>
  <c r="F24" i="5"/>
  <c r="F32" i="5"/>
  <c r="F34" i="5"/>
  <c r="F36" i="5"/>
  <c r="F38" i="5"/>
  <c r="F40" i="5"/>
  <c r="F22" i="5"/>
  <c r="F29" i="5"/>
  <c r="F27" i="5"/>
  <c r="F25" i="5"/>
  <c r="F23" i="5"/>
  <c r="F33" i="5"/>
  <c r="F35" i="5"/>
  <c r="F37" i="5"/>
  <c r="F39" i="5"/>
  <c r="F41" i="5"/>
  <c r="E18" i="5"/>
  <c r="E14" i="5"/>
  <c r="E10" i="5"/>
  <c r="E21" i="5"/>
  <c r="E32" i="5"/>
  <c r="E34" i="5"/>
  <c r="E36" i="5"/>
  <c r="E37" i="5"/>
  <c r="E38" i="5"/>
  <c r="E39" i="5"/>
  <c r="E40" i="5"/>
  <c r="E41" i="5"/>
  <c r="E6" i="5"/>
  <c r="E16" i="5"/>
  <c r="E12" i="5"/>
  <c r="E8" i="5"/>
  <c r="E22" i="5"/>
  <c r="E33" i="5"/>
  <c r="E35" i="5"/>
  <c r="E17" i="5"/>
  <c r="E15" i="5"/>
  <c r="E13" i="5"/>
  <c r="E11" i="5"/>
  <c r="E9" i="5"/>
  <c r="E7" i="5"/>
  <c r="E30" i="5"/>
  <c r="E29" i="5"/>
  <c r="E28" i="5"/>
  <c r="E27" i="5"/>
  <c r="E26" i="5"/>
  <c r="E25" i="5"/>
  <c r="E24" i="5"/>
  <c r="D21" i="5"/>
  <c r="D30" i="5"/>
  <c r="D28" i="5"/>
  <c r="D26" i="5"/>
  <c r="D24" i="5"/>
  <c r="D32" i="5"/>
  <c r="D34" i="5"/>
  <c r="D36" i="5"/>
  <c r="D38" i="5"/>
  <c r="D40" i="5"/>
  <c r="D18" i="5"/>
  <c r="D17" i="5"/>
  <c r="D16" i="5"/>
  <c r="D15" i="5"/>
  <c r="D14" i="5"/>
  <c r="D13" i="5"/>
  <c r="D12" i="5"/>
  <c r="D11" i="5"/>
  <c r="D10" i="5"/>
  <c r="D9" i="5"/>
  <c r="D8" i="5"/>
  <c r="D7" i="5"/>
  <c r="D22" i="5"/>
  <c r="D29" i="5"/>
  <c r="D27" i="5"/>
  <c r="D25" i="5"/>
  <c r="D23" i="5"/>
  <c r="D33" i="5"/>
  <c r="D35" i="5"/>
  <c r="D37" i="5"/>
  <c r="D39" i="5"/>
  <c r="D41" i="5"/>
  <c r="C6" i="5"/>
  <c r="C16" i="5"/>
  <c r="C10" i="5"/>
  <c r="C22" i="5"/>
  <c r="C32" i="5"/>
  <c r="C33" i="5"/>
  <c r="C35" i="5"/>
  <c r="C37" i="5"/>
  <c r="C39" i="5"/>
  <c r="C41" i="5"/>
  <c r="C18" i="5"/>
  <c r="C14" i="5"/>
  <c r="C12" i="5"/>
  <c r="C8" i="5"/>
  <c r="C21" i="5"/>
  <c r="C34" i="5"/>
  <c r="C36" i="5"/>
  <c r="C38" i="5"/>
  <c r="C40" i="5"/>
  <c r="C17" i="5"/>
  <c r="C15" i="5"/>
  <c r="C13" i="5"/>
  <c r="C11" i="5"/>
  <c r="C9" i="5"/>
  <c r="C7" i="5"/>
  <c r="C30" i="5"/>
  <c r="C29" i="5"/>
  <c r="C28" i="5"/>
  <c r="C27" i="5"/>
  <c r="C26" i="5"/>
  <c r="C25" i="5"/>
  <c r="C24" i="5"/>
  <c r="F18" i="5"/>
  <c r="F17" i="5"/>
  <c r="F16" i="5"/>
  <c r="F15" i="5"/>
  <c r="F14" i="5"/>
  <c r="F13" i="5"/>
  <c r="F12" i="5"/>
  <c r="F11" i="5"/>
  <c r="F10" i="5"/>
  <c r="F9" i="5"/>
  <c r="F8" i="5"/>
  <c r="G90" i="4"/>
  <c r="G103" i="4"/>
  <c r="G115" i="4"/>
  <c r="E23" i="5"/>
  <c r="E60" i="5"/>
  <c r="G18" i="6"/>
  <c r="G20" i="6"/>
  <c r="F81" i="4"/>
  <c r="F90" i="4" s="1"/>
  <c r="F15" i="6"/>
  <c r="E80" i="4"/>
  <c r="G123" i="4"/>
  <c r="F18" i="6"/>
  <c r="F20" i="6"/>
  <c r="E81" i="4"/>
  <c r="E90" i="4" s="1"/>
  <c r="G54" i="5"/>
  <c r="F7" i="4"/>
  <c r="F8" i="4"/>
  <c r="F9" i="4"/>
  <c r="G68" i="5"/>
  <c r="G82" i="5"/>
  <c r="G7" i="4"/>
  <c r="H54" i="5"/>
  <c r="H12" i="5"/>
  <c r="H68" i="5"/>
  <c r="H26" i="5"/>
  <c r="G9" i="4"/>
  <c r="G8" i="4"/>
  <c r="H38" i="5"/>
  <c r="H80" i="5"/>
  <c r="G12" i="5"/>
  <c r="H40" i="5"/>
  <c r="H82" i="5"/>
  <c r="G40" i="5"/>
  <c r="G30" i="5"/>
  <c r="G72" i="5"/>
  <c r="G83" i="5"/>
  <c r="G41" i="5"/>
  <c r="G60" i="5"/>
  <c r="G23" i="5"/>
  <c r="G24" i="5"/>
  <c r="G25" i="5"/>
  <c r="G27" i="5"/>
  <c r="G28" i="5"/>
  <c r="G29" i="5"/>
  <c r="G7" i="5"/>
  <c r="G8" i="5"/>
  <c r="G9" i="5"/>
  <c r="G10" i="5"/>
  <c r="G11" i="5"/>
  <c r="G13" i="5"/>
  <c r="G14" i="5"/>
  <c r="G15" i="5"/>
  <c r="G16" i="5"/>
  <c r="G17" i="5"/>
  <c r="G18" i="5"/>
  <c r="G39" i="5"/>
  <c r="G37" i="5"/>
  <c r="G36" i="5"/>
  <c r="G35" i="5"/>
  <c r="G34" i="5"/>
  <c r="G33" i="5"/>
  <c r="G32" i="5"/>
  <c r="G22" i="5"/>
  <c r="G21" i="5"/>
  <c r="G6" i="5"/>
  <c r="G38" i="5"/>
  <c r="H72" i="5"/>
  <c r="H30" i="5"/>
  <c r="H39" i="5"/>
  <c r="H37" i="5"/>
  <c r="H36" i="5"/>
  <c r="H35" i="5"/>
  <c r="H34" i="5"/>
  <c r="H33" i="5"/>
  <c r="H32" i="5"/>
  <c r="H22" i="5"/>
  <c r="H21" i="5"/>
  <c r="H6" i="5"/>
  <c r="H60" i="5"/>
  <c r="H23" i="5"/>
  <c r="H24" i="5"/>
  <c r="H25" i="5"/>
  <c r="H27" i="5"/>
  <c r="H28" i="5"/>
  <c r="H29" i="5"/>
  <c r="H7" i="5"/>
  <c r="H8" i="5"/>
  <c r="H9" i="5"/>
  <c r="H10" i="5"/>
  <c r="H11" i="5"/>
  <c r="H13" i="5"/>
  <c r="H14" i="5"/>
  <c r="H15" i="5"/>
  <c r="H16" i="5"/>
  <c r="H17" i="5"/>
  <c r="H18" i="5"/>
  <c r="G26" i="5"/>
  <c r="H41" i="5"/>
  <c r="H83" i="5"/>
  <c r="G118" i="4" l="1"/>
  <c r="G122" i="4" s="1"/>
  <c r="D93" i="4"/>
  <c r="C93" i="4"/>
  <c r="G106" i="4"/>
  <c r="G109" i="4" s="1"/>
  <c r="E118" i="4"/>
  <c r="E122" i="4" s="1"/>
  <c r="F118" i="4"/>
  <c r="F122" i="4" s="1"/>
  <c r="D118" i="4"/>
  <c r="D122" i="4" s="1"/>
  <c r="E28" i="4"/>
  <c r="E93" i="4"/>
  <c r="F93" i="4"/>
  <c r="F123" i="4"/>
  <c r="C123" i="4"/>
  <c r="G93" i="4"/>
  <c r="G28" i="4"/>
  <c r="C28" i="4"/>
  <c r="D28" i="4"/>
  <c r="F28" i="4"/>
  <c r="C118" i="4"/>
  <c r="C122" i="4" s="1"/>
</calcChain>
</file>

<file path=xl/sharedStrings.xml><?xml version="1.0" encoding="utf-8"?>
<sst xmlns="http://schemas.openxmlformats.org/spreadsheetml/2006/main" count="377" uniqueCount="121">
  <si>
    <t>For the years ended December 31,</t>
  </si>
  <si>
    <t/>
  </si>
  <si>
    <t>USD</t>
  </si>
  <si>
    <t>(% Sales)</t>
  </si>
  <si>
    <t>Net sales</t>
  </si>
  <si>
    <t>Costs and expenses:</t>
  </si>
  <si>
    <t xml:space="preserve">   Cost of sales</t>
  </si>
  <si>
    <t xml:space="preserve">   Selling, marketing and administrative</t>
  </si>
  <si>
    <t xml:space="preserve">   Impairment charges</t>
  </si>
  <si>
    <t>Business realignment charges</t>
  </si>
  <si>
    <t>Total costs and expenses</t>
  </si>
  <si>
    <t>Operating profit</t>
  </si>
  <si>
    <t>Interest expense, net</t>
  </si>
  <si>
    <t>Other (income) expense, net</t>
  </si>
  <si>
    <t>Income before income taxes</t>
  </si>
  <si>
    <t>Provision for income taxes</t>
  </si>
  <si>
    <t>Net income</t>
  </si>
  <si>
    <t>December 31,</t>
  </si>
  <si>
    <t>ASSETS</t>
  </si>
  <si>
    <t>(USD 1'000)</t>
  </si>
  <si>
    <t>(% Assets)</t>
  </si>
  <si>
    <t>Cash and cash equivalents</t>
  </si>
  <si>
    <t>Short-term investments</t>
  </si>
  <si>
    <t>Accounts receivable trade, net</t>
  </si>
  <si>
    <t>Inventories</t>
  </si>
  <si>
    <t>Deferred income taxes</t>
  </si>
  <si>
    <t>Prepaid expenses and other</t>
  </si>
  <si>
    <t>Total current assets</t>
  </si>
  <si>
    <t>Property, plant and equipment, net</t>
  </si>
  <si>
    <t>Goodwill</t>
  </si>
  <si>
    <t>Other intangibles</t>
  </si>
  <si>
    <t>Other assets</t>
  </si>
  <si>
    <t>Total assets</t>
  </si>
  <si>
    <t>LIABILITIES AND STOCKHOLDERS EQUITY</t>
  </si>
  <si>
    <t>Accounts payable</t>
  </si>
  <si>
    <t>Accrued liabilities</t>
  </si>
  <si>
    <t>Accrued income taxes</t>
  </si>
  <si>
    <t>Short-term debt</t>
  </si>
  <si>
    <t>Current portion of long-term debt</t>
  </si>
  <si>
    <t>Total current liabilities</t>
  </si>
  <si>
    <t>Long-term debt</t>
  </si>
  <si>
    <t>Other long-term liabilities</t>
  </si>
  <si>
    <t>Total liabilities</t>
  </si>
  <si>
    <t>Common stock</t>
  </si>
  <si>
    <t>Class B common stock</t>
  </si>
  <si>
    <t>Additional paid-in capital</t>
  </si>
  <si>
    <t>Retained earnings</t>
  </si>
  <si>
    <t>Treasury common stock shares, at cost</t>
  </si>
  <si>
    <t>Accumulated other comprehensive loss</t>
  </si>
  <si>
    <t>The Hershey Company stockholders equity</t>
  </si>
  <si>
    <t>Noncontrolling interests in subsidiaries</t>
  </si>
  <si>
    <t>Total stockholders equity</t>
  </si>
  <si>
    <t>Total liabilities and stockholders equity</t>
  </si>
  <si>
    <t>Cash Ratio</t>
  </si>
  <si>
    <t>Quick Ratio</t>
  </si>
  <si>
    <t>Current Ratio</t>
  </si>
  <si>
    <t xml:space="preserve"> </t>
  </si>
  <si>
    <t>ROE</t>
  </si>
  <si>
    <t>NOPLAT</t>
  </si>
  <si>
    <t>ROIC</t>
  </si>
  <si>
    <t>Return Spread</t>
  </si>
  <si>
    <t>EVA</t>
  </si>
  <si>
    <t>Liquidity Ratios</t>
  </si>
  <si>
    <t>Activity ratios</t>
  </si>
  <si>
    <t>Turnover</t>
  </si>
  <si>
    <t>Receivables turnover</t>
  </si>
  <si>
    <t>Payables turnover</t>
  </si>
  <si>
    <t>Inventory turnover</t>
  </si>
  <si>
    <t>Asset turnover</t>
  </si>
  <si>
    <t>Days sales outstanding (DSO)</t>
  </si>
  <si>
    <t>Days inventory out (DIO)</t>
  </si>
  <si>
    <t>Days payables out (DPO)</t>
  </si>
  <si>
    <t>Financing Structure</t>
  </si>
  <si>
    <t>Interest coverage ratio (EBIT)</t>
  </si>
  <si>
    <t>Interest coverage ratio (EBITDA)</t>
  </si>
  <si>
    <t>Debt/EBIT</t>
  </si>
  <si>
    <t>Debt/EBITDA</t>
  </si>
  <si>
    <t>MARKET VALUE OF EQUITY</t>
  </si>
  <si>
    <t>Depreciation and amortization</t>
  </si>
  <si>
    <t>Additional information</t>
  </si>
  <si>
    <t>Average tax rate</t>
  </si>
  <si>
    <t>EBITDA</t>
  </si>
  <si>
    <t>Book values</t>
  </si>
  <si>
    <t xml:space="preserve">   Debt ratio (liabilities)</t>
  </si>
  <si>
    <t xml:space="preserve">   Debt-to-capital ratio</t>
  </si>
  <si>
    <t xml:space="preserve">   Debt/Equity (liabilities)</t>
  </si>
  <si>
    <t xml:space="preserve">   Debt/Equity (capital)</t>
  </si>
  <si>
    <t>Market values</t>
  </si>
  <si>
    <t>Coverage ratios</t>
  </si>
  <si>
    <t>Profitability</t>
  </si>
  <si>
    <t>Sales</t>
  </si>
  <si>
    <t>Return on Equity (ROE)</t>
  </si>
  <si>
    <t>Gross margin</t>
  </si>
  <si>
    <t>EBIT margin</t>
  </si>
  <si>
    <t>Net income margin</t>
  </si>
  <si>
    <t>Return on Assets (ROA, EBIT)</t>
  </si>
  <si>
    <t>Return on Assets (ROA, NOPLAT)</t>
  </si>
  <si>
    <t>Return on Assets (ROA, Net inc.)</t>
  </si>
  <si>
    <t>Value Creation</t>
  </si>
  <si>
    <t>Average equity ratio</t>
  </si>
  <si>
    <t>ROE Decomposition</t>
  </si>
  <si>
    <t>Payout policy</t>
  </si>
  <si>
    <t>Dividend payments</t>
  </si>
  <si>
    <t>Share repruchases</t>
  </si>
  <si>
    <t>Total payout</t>
  </si>
  <si>
    <t>Cash dividends</t>
  </si>
  <si>
    <t>Dividend payout ratio</t>
  </si>
  <si>
    <t>Total payout ratio</t>
  </si>
  <si>
    <t>Invested Capital (year start)</t>
  </si>
  <si>
    <t>Cost of Capital (WACC)</t>
  </si>
  <si>
    <t>Earnings per share</t>
  </si>
  <si>
    <t>Annual sales growth</t>
  </si>
  <si>
    <t>Payment terms and inventory</t>
  </si>
  <si>
    <t>Cash Conversion Cycle</t>
  </si>
  <si>
    <t>FIRM X</t>
  </si>
  <si>
    <t>Firm X</t>
  </si>
  <si>
    <t>Common Equity</t>
  </si>
  <si>
    <t>Fixed assets</t>
  </si>
  <si>
    <t>Asset Coverage Ratios</t>
  </si>
  <si>
    <t>Asset Coverage Ratio I</t>
  </si>
  <si>
    <t>Asset Coverage Ratio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</si>
</sst>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#,##0;[Red]\(#,##0\)"/>
    <numFmt numFmtId="166" formatCode="\$#,##0;[Red]\(\$##,#00\)"/>
    <numFmt numFmtId="167" formatCode="0.0"/>
    <numFmt numFmtId="168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0"/>
      <name val="Calibri"/>
      <family val="2"/>
    </font>
    <font>
      <b/>
      <sz val="10"/>
      <name val="Calibri"/>
      <family val="2"/>
    </font>
    <font>
      <sz val="9"/>
      <color indexed="0"/>
      <name val="Courier New"/>
      <family val="3"/>
    </font>
    <font>
      <i/>
      <sz val="10"/>
      <name val="Calibri"/>
      <family val="2"/>
    </font>
    <font>
      <sz val="10"/>
      <name val="Calibri"/>
      <family val="2"/>
    </font>
    <font>
      <b/>
      <sz val="9"/>
      <color indexed="0"/>
      <name val="Helvetica"/>
      <family val="2"/>
    </font>
    <font>
      <b/>
      <sz val="9"/>
      <color indexed="0"/>
      <name val="Courier New"/>
      <family val="3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0"/>
      <name val="Courier New"/>
      <family val="3"/>
    </font>
    <font>
      <sz val="9"/>
      <color indexed="0"/>
      <name val="Helvetica"/>
      <family val="2"/>
    </font>
    <font>
      <b/>
      <sz val="10"/>
      <color theme="1"/>
      <name val="Calibri"/>
      <family val="2"/>
      <scheme val="minor"/>
    </font>
    <font>
      <b/>
      <sz val="9"/>
      <color rgb="FFFACD22"/>
      <name val="Courier New"/>
      <family val="3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0" applyFont="1" applyFill="1" applyAlignment="1" applyProtection="1">
      <alignment horizontal="right"/>
    </xf>
    <xf numFmtId="0" fontId="0" fillId="0" borderId="0" xfId="0" applyAlignment="1"/>
    <xf numFmtId="165" fontId="4" fillId="0" borderId="0" xfId="0" applyNumberFormat="1" applyFont="1" applyFill="1" applyAlignment="1" applyProtection="1"/>
    <xf numFmtId="0" fontId="4" fillId="0" borderId="0" xfId="0" applyFont="1" applyFill="1" applyAlignment="1" applyProtection="1"/>
    <xf numFmtId="0" fontId="7" fillId="0" borderId="0" xfId="0" applyFont="1"/>
    <xf numFmtId="0" fontId="8" fillId="0" borderId="0" xfId="0" applyFont="1" applyFill="1" applyAlignment="1" applyProtection="1">
      <alignment horizontal="right"/>
    </xf>
    <xf numFmtId="166" fontId="8" fillId="0" borderId="0" xfId="0" applyNumberFormat="1" applyFont="1" applyFill="1" applyAlignment="1" applyProtection="1"/>
    <xf numFmtId="0" fontId="9" fillId="2" borderId="1" xfId="0" applyFont="1" applyFill="1" applyBorder="1" applyAlignment="1" applyProtection="1"/>
    <xf numFmtId="1" fontId="9" fillId="2" borderId="1" xfId="0" applyNumberFormat="1" applyFont="1" applyFill="1" applyBorder="1" applyAlignment="1" applyProtection="1"/>
    <xf numFmtId="0" fontId="9" fillId="2" borderId="2" xfId="0" applyFont="1" applyFill="1" applyBorder="1" applyAlignment="1" applyProtection="1"/>
    <xf numFmtId="0" fontId="10" fillId="2" borderId="0" xfId="0" applyFont="1" applyFill="1" applyAlignment="1" applyProtection="1"/>
    <xf numFmtId="3" fontId="10" fillId="2" borderId="0" xfId="0" applyNumberFormat="1" applyFont="1" applyFill="1" applyAlignment="1" applyProtection="1"/>
    <xf numFmtId="164" fontId="10" fillId="2" borderId="0" xfId="0" applyNumberFormat="1" applyFont="1" applyFill="1" applyAlignment="1" applyProtection="1"/>
    <xf numFmtId="3" fontId="10" fillId="2" borderId="0" xfId="0" applyNumberFormat="1" applyFont="1" applyFill="1" applyAlignment="1" applyProtection="1">
      <alignment horizontal="right"/>
    </xf>
    <xf numFmtId="164" fontId="10" fillId="2" borderId="0" xfId="0" applyNumberFormat="1" applyFont="1" applyFill="1" applyAlignment="1" applyProtection="1">
      <alignment horizontal="right"/>
    </xf>
    <xf numFmtId="0" fontId="11" fillId="2" borderId="1" xfId="0" applyFont="1" applyFill="1" applyBorder="1" applyAlignment="1" applyProtection="1"/>
    <xf numFmtId="3" fontId="11" fillId="2" borderId="1" xfId="0" applyNumberFormat="1" applyFont="1" applyFill="1" applyBorder="1" applyAlignment="1" applyProtection="1"/>
    <xf numFmtId="164" fontId="11" fillId="2" borderId="1" xfId="0" applyNumberFormat="1" applyFont="1" applyFill="1" applyBorder="1" applyAlignment="1" applyProtection="1"/>
    <xf numFmtId="3" fontId="9" fillId="2" borderId="1" xfId="0" applyNumberFormat="1" applyFont="1" applyFill="1" applyBorder="1" applyAlignment="1" applyProtection="1"/>
    <xf numFmtId="164" fontId="9" fillId="2" borderId="1" xfId="0" applyNumberFormat="1" applyFont="1" applyFill="1" applyBorder="1" applyAlignment="1" applyProtection="1"/>
    <xf numFmtId="0" fontId="0" fillId="2" borderId="0" xfId="0" applyFill="1"/>
    <xf numFmtId="164" fontId="10" fillId="2" borderId="0" xfId="0" applyNumberFormat="1" applyFont="1" applyFill="1"/>
    <xf numFmtId="0" fontId="10" fillId="2" borderId="0" xfId="0" applyFont="1" applyFill="1" applyAlignment="1" applyProtection="1">
      <alignment horizontal="right"/>
    </xf>
    <xf numFmtId="3" fontId="10" fillId="2" borderId="1" xfId="0" applyNumberFormat="1" applyFont="1" applyFill="1" applyBorder="1" applyAlignment="1" applyProtection="1"/>
    <xf numFmtId="164" fontId="10" fillId="2" borderId="1" xfId="0" applyNumberFormat="1" applyFont="1" applyFill="1" applyBorder="1" applyAlignment="1" applyProtection="1"/>
    <xf numFmtId="0" fontId="11" fillId="2" borderId="1" xfId="0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right"/>
    </xf>
    <xf numFmtId="0" fontId="12" fillId="0" borderId="0" xfId="2"/>
    <xf numFmtId="0" fontId="12" fillId="0" borderId="1" xfId="2" applyBorder="1"/>
    <xf numFmtId="0" fontId="13" fillId="0" borderId="1" xfId="2" applyFont="1" applyBorder="1" applyAlignment="1">
      <alignment horizontal="center"/>
    </xf>
    <xf numFmtId="2" fontId="12" fillId="0" borderId="0" xfId="2" applyNumberFormat="1" applyAlignment="1">
      <alignment horizontal="center"/>
    </xf>
    <xf numFmtId="0" fontId="13" fillId="0" borderId="0" xfId="2" applyFont="1"/>
    <xf numFmtId="0" fontId="12" fillId="0" borderId="0" xfId="2" applyBorder="1"/>
    <xf numFmtId="0" fontId="12" fillId="0" borderId="2" xfId="2" applyFill="1" applyBorder="1"/>
    <xf numFmtId="0" fontId="12" fillId="0" borderId="2" xfId="2" applyBorder="1"/>
    <xf numFmtId="2" fontId="12" fillId="0" borderId="2" xfId="2" applyNumberFormat="1" applyBorder="1" applyAlignment="1">
      <alignment horizontal="center"/>
    </xf>
    <xf numFmtId="167" fontId="12" fillId="0" borderId="0" xfId="2" applyNumberFormat="1" applyAlignment="1">
      <alignment horizontal="center"/>
    </xf>
    <xf numFmtId="0" fontId="13" fillId="0" borderId="1" xfId="2" applyFont="1" applyBorder="1"/>
    <xf numFmtId="164" fontId="0" fillId="0" borderId="0" xfId="3" applyNumberFormat="1" applyFont="1" applyAlignment="1">
      <alignment horizontal="center"/>
    </xf>
    <xf numFmtId="0" fontId="12" fillId="0" borderId="5" xfId="2" applyBorder="1"/>
    <xf numFmtId="3" fontId="12" fillId="0" borderId="5" xfId="2" applyNumberFormat="1" applyBorder="1" applyAlignment="1">
      <alignment horizontal="center"/>
    </xf>
    <xf numFmtId="164" fontId="0" fillId="0" borderId="2" xfId="3" applyNumberFormat="1" applyFont="1" applyBorder="1" applyAlignment="1">
      <alignment horizontal="center"/>
    </xf>
    <xf numFmtId="164" fontId="0" fillId="0" borderId="5" xfId="3" applyNumberFormat="1" applyFont="1" applyBorder="1" applyAlignment="1">
      <alignment horizontal="center"/>
    </xf>
    <xf numFmtId="164" fontId="0" fillId="0" borderId="0" xfId="3" applyNumberFormat="1" applyFont="1" applyBorder="1" applyAlignment="1">
      <alignment horizontal="center"/>
    </xf>
    <xf numFmtId="0" fontId="13" fillId="0" borderId="1" xfId="2" applyFont="1" applyFill="1" applyBorder="1"/>
    <xf numFmtId="164" fontId="13" fillId="0" borderId="1" xfId="3" applyNumberFormat="1" applyFont="1" applyBorder="1" applyAlignment="1">
      <alignment horizontal="center"/>
    </xf>
    <xf numFmtId="0" fontId="12" fillId="0" borderId="0" xfId="2" applyFill="1" applyBorder="1"/>
    <xf numFmtId="2" fontId="0" fillId="0" borderId="0" xfId="3" applyNumberFormat="1" applyFont="1" applyBorder="1" applyAlignment="1">
      <alignment horizontal="center"/>
    </xf>
    <xf numFmtId="3" fontId="12" fillId="0" borderId="0" xfId="2" applyNumberFormat="1" applyAlignment="1">
      <alignment horizontal="center"/>
    </xf>
    <xf numFmtId="3" fontId="12" fillId="0" borderId="1" xfId="2" applyNumberFormat="1" applyBorder="1" applyAlignment="1">
      <alignment horizontal="center"/>
    </xf>
    <xf numFmtId="9" fontId="13" fillId="0" borderId="1" xfId="3" applyNumberFormat="1" applyFont="1" applyBorder="1" applyAlignment="1">
      <alignment horizontal="center"/>
    </xf>
    <xf numFmtId="168" fontId="12" fillId="0" borderId="0" xfId="2" applyNumberFormat="1" applyBorder="1" applyAlignment="1">
      <alignment horizontal="center"/>
    </xf>
    <xf numFmtId="0" fontId="12" fillId="0" borderId="0" xfId="2" applyBorder="1" applyAlignment="1">
      <alignment horizontal="center"/>
    </xf>
    <xf numFmtId="0" fontId="13" fillId="0" borderId="5" xfId="2" applyFont="1" applyBorder="1"/>
    <xf numFmtId="164" fontId="13" fillId="0" borderId="5" xfId="2" applyNumberFormat="1" applyFont="1" applyBorder="1" applyAlignment="1">
      <alignment horizontal="center"/>
    </xf>
    <xf numFmtId="0" fontId="13" fillId="0" borderId="2" xfId="2" applyFont="1" applyBorder="1"/>
    <xf numFmtId="3" fontId="13" fillId="0" borderId="2" xfId="2" applyNumberFormat="1" applyFont="1" applyBorder="1" applyAlignment="1">
      <alignment horizontal="center"/>
    </xf>
    <xf numFmtId="3" fontId="0" fillId="0" borderId="0" xfId="0" applyNumberFormat="1"/>
    <xf numFmtId="165" fontId="14" fillId="0" borderId="0" xfId="0" applyNumberFormat="1" applyFont="1" applyFill="1" applyAlignment="1" applyProtection="1"/>
    <xf numFmtId="0" fontId="14" fillId="0" borderId="0" xfId="0" applyFont="1" applyFill="1" applyAlignment="1" applyProtection="1">
      <alignment horizontal="right"/>
    </xf>
    <xf numFmtId="0" fontId="15" fillId="0" borderId="0" xfId="0" applyFont="1"/>
    <xf numFmtId="2" fontId="0" fillId="0" borderId="0" xfId="3" applyNumberFormat="1" applyFont="1" applyAlignment="1">
      <alignment horizontal="center"/>
    </xf>
    <xf numFmtId="2" fontId="13" fillId="0" borderId="5" xfId="2" applyNumberFormat="1" applyFont="1" applyBorder="1" applyAlignment="1">
      <alignment horizontal="center"/>
    </xf>
    <xf numFmtId="0" fontId="13" fillId="0" borderId="0" xfId="2" applyFont="1" applyBorder="1"/>
    <xf numFmtId="0" fontId="13" fillId="0" borderId="0" xfId="2" applyFont="1" applyBorder="1" applyAlignment="1">
      <alignment horizontal="center"/>
    </xf>
    <xf numFmtId="0" fontId="14" fillId="0" borderId="0" xfId="0" applyFont="1" applyFill="1" applyAlignment="1" applyProtection="1"/>
    <xf numFmtId="3" fontId="12" fillId="0" borderId="0" xfId="2" applyNumberFormat="1" applyBorder="1" applyAlignment="1">
      <alignment horizontal="center"/>
    </xf>
    <xf numFmtId="164" fontId="12" fillId="4" borderId="0" xfId="2" applyNumberFormat="1" applyFill="1" applyBorder="1" applyAlignment="1">
      <alignment horizontal="center"/>
    </xf>
    <xf numFmtId="2" fontId="13" fillId="0" borderId="1" xfId="3" applyNumberFormat="1" applyFont="1" applyBorder="1" applyAlignment="1">
      <alignment horizontal="center"/>
    </xf>
    <xf numFmtId="167" fontId="13" fillId="0" borderId="1" xfId="2" applyNumberFormat="1" applyFont="1" applyBorder="1" applyAlignment="1">
      <alignment horizontal="center"/>
    </xf>
    <xf numFmtId="0" fontId="0" fillId="0" borderId="0" xfId="0" applyFill="1" applyAlignment="1"/>
    <xf numFmtId="3" fontId="17" fillId="0" borderId="0" xfId="0" applyNumberFormat="1" applyFont="1" applyFill="1"/>
    <xf numFmtId="0" fontId="0" fillId="0" borderId="0" xfId="0" applyFill="1"/>
    <xf numFmtId="0" fontId="18" fillId="0" borderId="0" xfId="0" applyFont="1"/>
    <xf numFmtId="0" fontId="2" fillId="0" borderId="1" xfId="0" applyFont="1" applyFill="1" applyBorder="1" applyAlignment="1" applyProtection="1"/>
    <xf numFmtId="1" fontId="3" fillId="0" borderId="1" xfId="0" applyNumberFormat="1" applyFont="1" applyFill="1" applyBorder="1" applyAlignment="1" applyProtection="1"/>
    <xf numFmtId="1" fontId="5" fillId="0" borderId="1" xfId="0" applyNumberFormat="1" applyFont="1" applyFill="1" applyBorder="1" applyAlignment="1" applyProtection="1">
      <alignment horizontal="right"/>
    </xf>
    <xf numFmtId="0" fontId="3" fillId="0" borderId="0" xfId="0" applyFont="1" applyFill="1" applyAlignment="1" applyProtection="1"/>
    <xf numFmtId="3" fontId="3" fillId="0" borderId="0" xfId="0" applyNumberFormat="1" applyFont="1" applyFill="1" applyAlignment="1" applyProtection="1"/>
    <xf numFmtId="0" fontId="6" fillId="0" borderId="0" xfId="0" applyFont="1" applyFill="1" applyAlignment="1" applyProtection="1"/>
    <xf numFmtId="3" fontId="6" fillId="0" borderId="0" xfId="0" applyNumberFormat="1" applyFont="1" applyFill="1" applyAlignment="1" applyProtection="1">
      <alignment horizontal="right"/>
    </xf>
    <xf numFmtId="3" fontId="6" fillId="0" borderId="0" xfId="0" applyNumberFormat="1" applyFont="1" applyFill="1" applyAlignment="1" applyProtection="1"/>
    <xf numFmtId="0" fontId="3" fillId="0" borderId="1" xfId="0" applyFont="1" applyFill="1" applyBorder="1" applyAlignment="1" applyProtection="1"/>
    <xf numFmtId="3" fontId="6" fillId="0" borderId="1" xfId="0" applyNumberFormat="1" applyFont="1" applyFill="1" applyBorder="1" applyAlignment="1" applyProtection="1"/>
    <xf numFmtId="3" fontId="3" fillId="0" borderId="1" xfId="0" applyNumberFormat="1" applyFont="1" applyFill="1" applyBorder="1" applyAlignment="1" applyProtection="1"/>
    <xf numFmtId="0" fontId="15" fillId="0" borderId="0" xfId="0" applyFont="1" applyFill="1"/>
    <xf numFmtId="0" fontId="15" fillId="0" borderId="0" xfId="0" applyFont="1" applyFill="1" applyAlignment="1"/>
    <xf numFmtId="0" fontId="7" fillId="0" borderId="0" xfId="0" applyFont="1" applyFill="1"/>
    <xf numFmtId="0" fontId="7" fillId="0" borderId="0" xfId="0" applyFont="1" applyFill="1" applyAlignment="1"/>
    <xf numFmtId="0" fontId="16" fillId="0" borderId="0" xfId="0" applyFont="1" applyFill="1"/>
    <xf numFmtId="3" fontId="0" fillId="0" borderId="0" xfId="0" applyNumberFormat="1" applyFill="1"/>
    <xf numFmtId="1" fontId="5" fillId="0" borderId="2" xfId="0" applyNumberFormat="1" applyFont="1" applyFill="1" applyBorder="1" applyAlignment="1" applyProtection="1">
      <alignment horizontal="right"/>
    </xf>
    <xf numFmtId="0" fontId="0" fillId="0" borderId="2" xfId="0" applyFill="1" applyBorder="1"/>
    <xf numFmtId="0" fontId="2" fillId="0" borderId="5" xfId="0" applyFont="1" applyFill="1" applyBorder="1" applyAlignment="1" applyProtection="1"/>
    <xf numFmtId="1" fontId="3" fillId="0" borderId="5" xfId="0" applyNumberFormat="1" applyFont="1" applyFill="1" applyBorder="1" applyAlignment="1" applyProtection="1"/>
    <xf numFmtId="0" fontId="18" fillId="0" borderId="0" xfId="0" applyFont="1" applyFill="1"/>
    <xf numFmtId="164" fontId="6" fillId="0" borderId="0" xfId="1" applyNumberFormat="1" applyFont="1" applyFill="1" applyAlignment="1" applyProtection="1">
      <alignment horizontal="right"/>
    </xf>
    <xf numFmtId="164" fontId="6" fillId="0" borderId="0" xfId="1" applyNumberFormat="1" applyFont="1" applyFill="1" applyAlignment="1" applyProtection="1"/>
    <xf numFmtId="164" fontId="6" fillId="0" borderId="1" xfId="1" applyNumberFormat="1" applyFont="1" applyFill="1" applyBorder="1" applyAlignment="1" applyProtection="1"/>
    <xf numFmtId="164" fontId="3" fillId="0" borderId="1" xfId="1" applyNumberFormat="1" applyFont="1" applyFill="1" applyBorder="1" applyAlignment="1" applyProtection="1"/>
    <xf numFmtId="0" fontId="13" fillId="3" borderId="3" xfId="2" applyFont="1" applyFill="1" applyBorder="1" applyAlignment="1">
      <alignment horizontal="center"/>
    </xf>
    <xf numFmtId="0" fontId="13" fillId="3" borderId="1" xfId="2" applyFont="1" applyFill="1" applyBorder="1" applyAlignment="1">
      <alignment horizontal="center"/>
    </xf>
    <xf numFmtId="0" fontId="13" fillId="3" borderId="4" xfId="2" applyFont="1" applyFill="1" applyBorder="1" applyAlignment="1">
      <alignment horizontal="center"/>
    </xf>
    <xf numFmtId="3" fontId="12" fillId="0" borderId="0" xfId="2" applyNumberFormat="1"/>
    <xf numFmtId="2" fontId="12" fillId="0" borderId="0" xfId="2" applyNumberFormat="1"/>
  </cellXfs>
  <cellStyles count="4">
    <cellStyle name="Normal" xfId="0" builtinId="0"/>
    <cellStyle name="Normal 2" xfId="2"/>
    <cellStyle name="Percent" xfId="1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 b="1"/>
            </a:pPr>
            <a:r>
              <a:rPr lang="en-US" sz="1400" b="1"/>
              <a:t>Activity: Days Outstanding and Cash Conversion Cycle</a:t>
            </a:r>
          </a:p>
        </c:rich>
      </c:tx>
      <c:layout/>
      <c:overlay val="0"/>
      <c:spPr>
        <a:noFill/>
      </c:sp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Ratios!$B$25</c:f>
              <c:strCache>
                <c:ptCount val="1"/>
                <c:pt idx="0">
                  <c:v>Days sales outstanding (DSO)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Ratios!$C$15:$G$15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Ratios!$C$25:$G$25</c:f>
              <c:numCache>
                <c:formatCode>0.0</c:formatCode>
                <c:ptCount val="5"/>
                <c:pt idx="0">
                  <c:v>23.696714965231479</c:v>
                </c:pt>
                <c:pt idx="1">
                  <c:v>23.64614782822807</c:v>
                </c:pt>
                <c:pt idx="2">
                  <c:v>23.988167147326529</c:v>
                </c:pt>
                <c:pt idx="3">
                  <c:v>26.430426011699641</c:v>
                </c:pt>
                <c:pt idx="4">
                  <c:v>29.549671595664922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CAA-43FA-BD02-CB50782156F3}"/>
            </c:ext>
          </c:extLst>
        </c:ser>
        <c:ser>
          <c:idx val="5"/>
          <c:order val="1"/>
          <c:tx>
            <c:strRef>
              <c:f>Ratios!$B$26</c:f>
              <c:strCache>
                <c:ptCount val="1"/>
                <c:pt idx="0">
                  <c:v>Days payables out (DPO)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Ratios!$C$15:$G$15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Ratios!$C$26:$G$26</c:f>
              <c:numCache>
                <c:formatCode>0.0</c:formatCode>
                <c:ptCount val="5"/>
                <c:pt idx="0">
                  <c:v>42.716844900498636</c:v>
                </c:pt>
                <c:pt idx="1">
                  <c:v>41.569377465734057</c:v>
                </c:pt>
                <c:pt idx="2">
                  <c:v>42.659056470363602</c:v>
                </c:pt>
                <c:pt idx="3">
                  <c:v>42.14664264899028</c:v>
                </c:pt>
                <c:pt idx="4">
                  <c:v>43.587358461679479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CAA-43FA-BD02-CB50782156F3}"/>
            </c:ext>
          </c:extLst>
        </c:ser>
        <c:ser>
          <c:idx val="6"/>
          <c:order val="2"/>
          <c:tx>
            <c:strRef>
              <c:f>Ratios!$B$27</c:f>
              <c:strCache>
                <c:ptCount val="1"/>
                <c:pt idx="0">
                  <c:v>Days inventory out (DIO)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Ratios!$C$15:$G$15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Ratios!$C$27:$G$27</c:f>
              <c:numCache>
                <c:formatCode>0.0</c:formatCode>
                <c:ptCount val="5"/>
                <c:pt idx="0">
                  <c:v>60.813260659089472</c:v>
                </c:pt>
                <c:pt idx="1">
                  <c:v>61.834397138757573</c:v>
                </c:pt>
                <c:pt idx="2">
                  <c:v>61.0407366338519</c:v>
                </c:pt>
                <c:pt idx="3">
                  <c:v>65.242601335127603</c:v>
                </c:pt>
                <c:pt idx="4">
                  <c:v>70.740399919979041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CAA-43FA-BD02-CB5078215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617216"/>
        <c:axId val="246618752"/>
      </c:barChart>
      <c:lineChart>
        <c:grouping val="standard"/>
        <c:varyColors val="0"/>
        <c:ser>
          <c:idx val="0"/>
          <c:order val="3"/>
          <c:tx>
            <c:strRef>
              <c:f>Ratios!$B$28</c:f>
              <c:strCache>
                <c:ptCount val="1"/>
                <c:pt idx="0">
                  <c:v>Cash Conversion Cycle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Ratios!$C$15:$G$15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Ratios!$C$28:$G$28</c:f>
              <c:numCache>
                <c:formatCode>0.0</c:formatCode>
                <c:ptCount val="5"/>
                <c:pt idx="0">
                  <c:v>41.793130723822323</c:v>
                </c:pt>
                <c:pt idx="1">
                  <c:v>43.91116750125159</c:v>
                </c:pt>
                <c:pt idx="2">
                  <c:v>42.369847310814826</c:v>
                </c:pt>
                <c:pt idx="3">
                  <c:v>49.52638469783696</c:v>
                </c:pt>
                <c:pt idx="4">
                  <c:v>56.70271305396448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617216"/>
        <c:axId val="246618752"/>
      </c:lineChart>
      <c:catAx>
        <c:axId val="24661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46618752"/>
        <c:crosses val="autoZero"/>
        <c:auto val="1"/>
        <c:lblAlgn val="ctr"/>
        <c:lblOffset val="100"/>
        <c:noMultiLvlLbl val="0"/>
      </c:catAx>
      <c:valAx>
        <c:axId val="2466187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Days outstanding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46617216"/>
        <c:crosses val="autoZero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 b="1"/>
            </a:pPr>
            <a:r>
              <a:rPr lang="en-US" sz="1400" b="1"/>
              <a:t>Sales and growth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5"/>
          <c:order val="1"/>
          <c:tx>
            <c:strRef>
              <c:f>Ratios!$B$76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-1.764705882352940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="1">
                    <a:solidFill>
                      <a:schemeClr val="accent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Ratios!$C$75:$G$75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Ratios!$C$76:$G$76</c:f>
              <c:numCache>
                <c:formatCode>#,##0</c:formatCode>
                <c:ptCount val="5"/>
                <c:pt idx="0">
                  <c:v>6080788</c:v>
                </c:pt>
                <c:pt idx="1">
                  <c:v>6644252</c:v>
                </c:pt>
                <c:pt idx="2">
                  <c:v>7146079</c:v>
                </c:pt>
                <c:pt idx="3">
                  <c:v>7421768</c:v>
                </c:pt>
                <c:pt idx="4">
                  <c:v>7386626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6E6-4E1F-941D-A7B7487F6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44032"/>
        <c:axId val="47649920"/>
      </c:barChart>
      <c:lineChart>
        <c:grouping val="standard"/>
        <c:varyColors val="0"/>
        <c:ser>
          <c:idx val="4"/>
          <c:order val="0"/>
          <c:tx>
            <c:strRef>
              <c:f>Ratios!$B$77</c:f>
              <c:strCache>
                <c:ptCount val="1"/>
                <c:pt idx="0">
                  <c:v>Annual sales growth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6372549019607799E-2"/>
                  <c:y val="-7.82009959035493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411764705882401E-2"/>
                  <c:y val="4.32943311992542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Ratios!$C$75:$G$75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Ratios!$C$77:$G$77</c:f>
              <c:numCache>
                <c:formatCode>0.0%</c:formatCode>
                <c:ptCount val="5"/>
                <c:pt idx="0">
                  <c:v>7.2258569859437793E-2</c:v>
                </c:pt>
                <c:pt idx="1">
                  <c:v>9.2662990388745703E-2</c:v>
                </c:pt>
                <c:pt idx="2">
                  <c:v>7.5527990208679618E-2</c:v>
                </c:pt>
                <c:pt idx="3">
                  <c:v>3.8579058529859545E-2</c:v>
                </c:pt>
                <c:pt idx="4">
                  <c:v>-4.7349903688717054E-3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6E6-4E1F-941D-A7B7487F6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54016"/>
        <c:axId val="47651840"/>
      </c:lineChart>
      <c:catAx>
        <c:axId val="4764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47649920"/>
        <c:crosses val="autoZero"/>
        <c:auto val="1"/>
        <c:lblAlgn val="ctr"/>
        <c:lblOffset val="100"/>
        <c:noMultiLvlLbl val="0"/>
      </c:catAx>
      <c:valAx>
        <c:axId val="476499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Sales (USD 1'000)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47644032"/>
        <c:crosses val="autoZero"/>
        <c:crossBetween val="between"/>
      </c:valAx>
      <c:valAx>
        <c:axId val="4765184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Sales Growth (%)</a:t>
                </a:r>
              </a:p>
            </c:rich>
          </c:tx>
          <c:layout/>
          <c:overlay val="0"/>
        </c:title>
        <c:numFmt formatCode="0.0%" sourceLinked="1"/>
        <c:majorTickMark val="out"/>
        <c:minorTickMark val="none"/>
        <c:tickLblPos val="nextTo"/>
        <c:crossAx val="47654016"/>
        <c:crosses val="max"/>
        <c:crossBetween val="between"/>
      </c:valAx>
      <c:catAx>
        <c:axId val="47654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651840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 b="1"/>
            </a:pPr>
            <a:r>
              <a:rPr lang="en-US" sz="1400" b="1"/>
              <a:t>Activity: Turnover</a:t>
            </a:r>
            <a:r>
              <a:rPr lang="en-US" sz="1400" b="1" baseline="0"/>
              <a:t> ratios</a:t>
            </a:r>
            <a:endParaRPr lang="en-US" sz="1400" b="1"/>
          </a:p>
        </c:rich>
      </c:tx>
      <c:layout/>
      <c:overlay val="0"/>
      <c:spPr>
        <a:noFill/>
      </c:sp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Ratios!$B$17</c:f>
              <c:strCache>
                <c:ptCount val="1"/>
                <c:pt idx="0">
                  <c:v>Receivables turnover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Ratios!$C$15:$G$15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Ratios!$C$17:$G$17</c:f>
              <c:numCache>
                <c:formatCode>0.00</c:formatCode>
                <c:ptCount val="5"/>
                <c:pt idx="0">
                  <c:v>15.402978874309742</c:v>
                </c:pt>
                <c:pt idx="1">
                  <c:v>15.435918046840333</c:v>
                </c:pt>
                <c:pt idx="2">
                  <c:v>15.215835280715856</c:v>
                </c:pt>
                <c:pt idx="3">
                  <c:v>13.809841727047072</c:v>
                </c:pt>
                <c:pt idx="4">
                  <c:v>12.3520831295312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CAA-43FA-BD02-CB50782156F3}"/>
            </c:ext>
          </c:extLst>
        </c:ser>
        <c:ser>
          <c:idx val="5"/>
          <c:order val="1"/>
          <c:tx>
            <c:strRef>
              <c:f>Ratios!$B$18</c:f>
              <c:strCache>
                <c:ptCount val="1"/>
                <c:pt idx="0">
                  <c:v>Payables turnover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Ratios!$C$15:$G$15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Ratios!$C$18:$G$18</c:f>
              <c:numCache>
                <c:formatCode>0.00</c:formatCode>
                <c:ptCount val="5"/>
                <c:pt idx="0">
                  <c:v>8.5446385576978638</c:v>
                </c:pt>
                <c:pt idx="1">
                  <c:v>8.7805019524497858</c:v>
                </c:pt>
                <c:pt idx="2">
                  <c:v>8.5562136202795607</c:v>
                </c:pt>
                <c:pt idx="3">
                  <c:v>8.6602390382509959</c:v>
                </c:pt>
                <c:pt idx="4">
                  <c:v>8.3739876166364979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CAA-43FA-BD02-CB50782156F3}"/>
            </c:ext>
          </c:extLst>
        </c:ser>
        <c:ser>
          <c:idx val="6"/>
          <c:order val="2"/>
          <c:tx>
            <c:strRef>
              <c:f>Ratios!$B$19</c:f>
              <c:strCache>
                <c:ptCount val="1"/>
                <c:pt idx="0">
                  <c:v>Inventory turnover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Ratios!$C$15:$G$15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Ratios!$C$19:$G$19</c:f>
              <c:numCache>
                <c:formatCode>0.00</c:formatCode>
                <c:ptCount val="5"/>
                <c:pt idx="0">
                  <c:v>6.0019804240745831</c:v>
                </c:pt>
                <c:pt idx="1">
                  <c:v>5.9028634043432655</c:v>
                </c:pt>
                <c:pt idx="2">
                  <c:v>5.9796132898825265</c:v>
                </c:pt>
                <c:pt idx="3">
                  <c:v>5.5945040898220357</c:v>
                </c:pt>
                <c:pt idx="4">
                  <c:v>5.1597107227678247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CAA-43FA-BD02-CB5078215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18400"/>
        <c:axId val="47719936"/>
      </c:barChart>
      <c:lineChart>
        <c:grouping val="standard"/>
        <c:varyColors val="0"/>
        <c:ser>
          <c:idx val="0"/>
          <c:order val="3"/>
          <c:tx>
            <c:strRef>
              <c:f>Ratios!$B$21</c:f>
              <c:strCache>
                <c:ptCount val="1"/>
                <c:pt idx="0">
                  <c:v>Asset turnover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Ratios!$C$15:$G$15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Ratios!$C$21:$G$21</c:f>
              <c:numCache>
                <c:formatCode>0.00</c:formatCode>
                <c:ptCount val="5"/>
                <c:pt idx="0">
                  <c:v>1.4003077284091261</c:v>
                </c:pt>
                <c:pt idx="1">
                  <c:v>1.4495962599915044</c:v>
                </c:pt>
                <c:pt idx="2">
                  <c:v>1.4133401738294262</c:v>
                </c:pt>
                <c:pt idx="3">
                  <c:v>1.3518262337166056</c:v>
                </c:pt>
                <c:pt idx="4">
                  <c:v>1.347034500290456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28128"/>
        <c:axId val="47721856"/>
      </c:lineChart>
      <c:catAx>
        <c:axId val="4771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47719936"/>
        <c:crosses val="autoZero"/>
        <c:auto val="1"/>
        <c:lblAlgn val="ctr"/>
        <c:lblOffset val="100"/>
        <c:noMultiLvlLbl val="0"/>
      </c:catAx>
      <c:valAx>
        <c:axId val="477199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Payables, receivables, iventory</a:t>
                </a:r>
                <a:r>
                  <a:rPr lang="en-US" baseline="0"/>
                  <a:t> turnover</a:t>
                </a:r>
                <a:endParaRPr lang="en-US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47718400"/>
        <c:crosses val="autoZero"/>
        <c:crossBetween val="between"/>
      </c:valAx>
      <c:valAx>
        <c:axId val="47721856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Asset turnover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</c:title>
        <c:numFmt formatCode="0.00" sourceLinked="0"/>
        <c:majorTickMark val="out"/>
        <c:minorTickMark val="none"/>
        <c:tickLblPos val="nextTo"/>
        <c:crossAx val="47728128"/>
        <c:crosses val="max"/>
        <c:crossBetween val="between"/>
      </c:valAx>
      <c:catAx>
        <c:axId val="47728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721856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1"/>
            </a:pPr>
            <a:r>
              <a:rPr lang="en-US" sz="1200" b="1"/>
              <a:t>Asset Coverage Ratios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Ratios!$B$66</c:f>
              <c:strCache>
                <c:ptCount val="1"/>
                <c:pt idx="0">
                  <c:v>Asset Coverage Ratio I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Ratios!$C$34:$G$34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Ratios!$C$66:$G$66</c:f>
              <c:numCache>
                <c:formatCode>0.00</c:formatCode>
                <c:ptCount val="5"/>
                <c:pt idx="0">
                  <c:v>0.36888437425627979</c:v>
                </c:pt>
                <c:pt idx="1">
                  <c:v>0.39690741945229607</c:v>
                </c:pt>
                <c:pt idx="2">
                  <c:v>0.56305410789804311</c:v>
                </c:pt>
                <c:pt idx="3">
                  <c:v>0.45012134818679772</c:v>
                </c:pt>
                <c:pt idx="4">
                  <c:v>0.29963673270547031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F3-4EEF-97B8-D4ABF32BF8E3}"/>
            </c:ext>
          </c:extLst>
        </c:ser>
        <c:ser>
          <c:idx val="5"/>
          <c:order val="1"/>
          <c:tx>
            <c:strRef>
              <c:f>Ratios!$B$67</c:f>
              <c:strCache>
                <c:ptCount val="1"/>
                <c:pt idx="0">
                  <c:v>Asset Coverage Ratio II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Ratios!$C$34:$G$34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Ratios!$C$67:$G$67</c:f>
              <c:numCache>
                <c:formatCode>0.00</c:formatCode>
                <c:ptCount val="5"/>
                <c:pt idx="0">
                  <c:v>1.1080075125515663</c:v>
                </c:pt>
                <c:pt idx="1">
                  <c:v>0.9765218899094934</c:v>
                </c:pt>
                <c:pt idx="2">
                  <c:v>1.1885055645097788</c:v>
                </c:pt>
                <c:pt idx="3">
                  <c:v>0.90699275406323143</c:v>
                </c:pt>
                <c:pt idx="4">
                  <c:v>0.7450578169692369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F3-4EEF-97B8-D4ABF32BF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24448"/>
        <c:axId val="48807936"/>
      </c:barChart>
      <c:catAx>
        <c:axId val="4842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48807936"/>
        <c:crosses val="autoZero"/>
        <c:auto val="1"/>
        <c:lblAlgn val="ctr"/>
        <c:lblOffset val="100"/>
        <c:noMultiLvlLbl val="0"/>
      </c:catAx>
      <c:valAx>
        <c:axId val="488079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Asset Coverage Ratio</a:t>
                </a:r>
              </a:p>
            </c:rich>
          </c:tx>
          <c:layout/>
          <c:overlay val="0"/>
        </c:title>
        <c:numFmt formatCode="#,##0.0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48424448"/>
        <c:crosses val="autoZero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1"/>
            </a:pPr>
            <a:r>
              <a:rPr lang="en-US" sz="1200" b="1"/>
              <a:t>Debt ratios (book values)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Ratios!$B$36</c:f>
              <c:strCache>
                <c:ptCount val="1"/>
                <c:pt idx="0">
                  <c:v>   Debt ratio (liabilities)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Ratios!$C$34:$G$34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Ratios!$C$36:$G$36</c:f>
              <c:numCache>
                <c:formatCode>0.0%</c:formatCode>
                <c:ptCount val="5"/>
                <c:pt idx="0">
                  <c:v>0.80221925620308598</c:v>
                </c:pt>
                <c:pt idx="1">
                  <c:v>0.77951451142720074</c:v>
                </c:pt>
                <c:pt idx="2">
                  <c:v>0.69835639389206283</c:v>
                </c:pt>
                <c:pt idx="3">
                  <c:v>0.72975900207545252</c:v>
                </c:pt>
                <c:pt idx="4">
                  <c:v>0.80400649580652239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F3-4EEF-97B8-D4ABF32BF8E3}"/>
            </c:ext>
          </c:extLst>
        </c:ser>
        <c:ser>
          <c:idx val="5"/>
          <c:order val="1"/>
          <c:tx>
            <c:strRef>
              <c:f>Ratios!$B$37</c:f>
              <c:strCache>
                <c:ptCount val="1"/>
                <c:pt idx="0">
                  <c:v>   Debt-to-capital ratio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Ratios!$C$34:$G$34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Ratios!$C$37:$G$37</c:f>
              <c:numCache>
                <c:formatCode>0.0%</c:formatCode>
                <c:ptCount val="5"/>
                <c:pt idx="0">
                  <c:v>0.68391721158307617</c:v>
                </c:pt>
                <c:pt idx="1">
                  <c:v>0.64524921512243683</c:v>
                </c:pt>
                <c:pt idx="2">
                  <c:v>0.5483452107826875</c:v>
                </c:pt>
                <c:pt idx="3">
                  <c:v>0.58902164470317642</c:v>
                </c:pt>
                <c:pt idx="4">
                  <c:v>0.69796270980098263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F3-4EEF-97B8-D4ABF32BF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86496"/>
        <c:axId val="44588032"/>
      </c:barChart>
      <c:catAx>
        <c:axId val="4458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44588032"/>
        <c:crosses val="autoZero"/>
        <c:auto val="1"/>
        <c:lblAlgn val="ctr"/>
        <c:lblOffset val="100"/>
        <c:noMultiLvlLbl val="0"/>
      </c:catAx>
      <c:valAx>
        <c:axId val="445880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Debt ratios (%)</a:t>
                </a:r>
              </a:p>
            </c:rich>
          </c:tx>
          <c:layout/>
          <c:overlay val="0"/>
        </c:title>
        <c:numFmt formatCode="0%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44586496"/>
        <c:crosses val="autoZero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 b="1"/>
            </a:pPr>
            <a:r>
              <a:rPr lang="en-US" sz="1400" b="1"/>
              <a:t>Sales and margins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5"/>
          <c:order val="1"/>
          <c:tx>
            <c:strRef>
              <c:f>Ratios!$B$79</c:f>
              <c:strCache>
                <c:ptCount val="1"/>
                <c:pt idx="0">
                  <c:v>Gross margin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Ratios!$C$75:$G$75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Ratios!$C$79:$G$79</c:f>
              <c:numCache>
                <c:formatCode>0.0%</c:formatCode>
                <c:ptCount val="5"/>
                <c:pt idx="0">
                  <c:v>0.41637564078866096</c:v>
                </c:pt>
                <c:pt idx="1">
                  <c:v>0.43042949003138353</c:v>
                </c:pt>
                <c:pt idx="2">
                  <c:v>0.45911163310677083</c:v>
                </c:pt>
                <c:pt idx="3">
                  <c:v>0.44951095210736847</c:v>
                </c:pt>
                <c:pt idx="4">
                  <c:v>0.45794588760822602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6E6-4E1F-941D-A7B7487F6B57}"/>
            </c:ext>
          </c:extLst>
        </c:ser>
        <c:ser>
          <c:idx val="0"/>
          <c:order val="2"/>
          <c:tx>
            <c:strRef>
              <c:f>Ratios!$B$80</c:f>
              <c:strCache>
                <c:ptCount val="1"/>
                <c:pt idx="0">
                  <c:v>EBIT margin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Ratios!$C$75:$G$75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Ratios!$C$80:$G$80</c:f>
              <c:numCache>
                <c:formatCode>0.0%</c:formatCode>
                <c:ptCount val="5"/>
                <c:pt idx="0">
                  <c:v>0.17350185535164192</c:v>
                </c:pt>
                <c:pt idx="1">
                  <c:v>0.16723447575438138</c:v>
                </c:pt>
                <c:pt idx="2">
                  <c:v>0.18724268231571467</c:v>
                </c:pt>
                <c:pt idx="3">
                  <c:v>0.18759155500414457</c:v>
                </c:pt>
                <c:pt idx="4">
                  <c:v>0.14049161281483588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6E6-4E1F-941D-A7B7487F6B57}"/>
            </c:ext>
          </c:extLst>
        </c:ser>
        <c:ser>
          <c:idx val="1"/>
          <c:order val="3"/>
          <c:tx>
            <c:strRef>
              <c:f>Ratios!$B$81</c:f>
              <c:strCache>
                <c:ptCount val="1"/>
                <c:pt idx="0">
                  <c:v>Net income margin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Ratios!$C$75:$G$75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Ratios!$C$81:$G$81</c:f>
              <c:numCache>
                <c:formatCode>0.0%</c:formatCode>
                <c:ptCount val="5"/>
                <c:pt idx="0">
                  <c:v>0.10343429173982056</c:v>
                </c:pt>
                <c:pt idx="1">
                  <c:v>9.9474101825156536E-2</c:v>
                </c:pt>
                <c:pt idx="2">
                  <c:v>0.11481401199175099</c:v>
                </c:pt>
                <c:pt idx="3">
                  <c:v>0.11411189355420434</c:v>
                </c:pt>
                <c:pt idx="4">
                  <c:v>6.9443207223433265E-2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6E6-4E1F-941D-A7B7487F6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15808"/>
        <c:axId val="45413888"/>
      </c:barChart>
      <c:lineChart>
        <c:grouping val="standard"/>
        <c:varyColors val="0"/>
        <c:ser>
          <c:idx val="4"/>
          <c:order val="0"/>
          <c:tx>
            <c:strRef>
              <c:f>Ratios!$B$76</c:f>
              <c:strCache>
                <c:ptCount val="1"/>
                <c:pt idx="0">
                  <c:v>Sales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Ratios!$C$75:$G$75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Ratios!$C$76:$G$76</c:f>
              <c:numCache>
                <c:formatCode>#,##0</c:formatCode>
                <c:ptCount val="5"/>
                <c:pt idx="0">
                  <c:v>6080788</c:v>
                </c:pt>
                <c:pt idx="1">
                  <c:v>6644252</c:v>
                </c:pt>
                <c:pt idx="2">
                  <c:v>7146079</c:v>
                </c:pt>
                <c:pt idx="3">
                  <c:v>7421768</c:v>
                </c:pt>
                <c:pt idx="4">
                  <c:v>7386626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6E6-4E1F-941D-A7B7487F6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06080"/>
        <c:axId val="45407616"/>
      </c:lineChart>
      <c:catAx>
        <c:axId val="4540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45407616"/>
        <c:crosses val="autoZero"/>
        <c:auto val="1"/>
        <c:lblAlgn val="ctr"/>
        <c:lblOffset val="100"/>
        <c:noMultiLvlLbl val="0"/>
      </c:catAx>
      <c:valAx>
        <c:axId val="454076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Sales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45406080"/>
        <c:crosses val="autoZero"/>
        <c:crossBetween val="between"/>
      </c:valAx>
      <c:valAx>
        <c:axId val="4541388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Margins</a:t>
                </a:r>
              </a:p>
            </c:rich>
          </c:tx>
          <c:layout/>
          <c:overlay val="0"/>
        </c:title>
        <c:numFmt formatCode="0%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45415808"/>
        <c:crosses val="max"/>
        <c:crossBetween val="between"/>
      </c:valAx>
      <c:catAx>
        <c:axId val="454158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5413888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Profitability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Ratios!$B$83</c:f>
              <c:strCache>
                <c:ptCount val="1"/>
                <c:pt idx="0">
                  <c:v>Return on Equity (ROE)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Ratios!$C$75:$G$75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Ratios!$C$83:$G$83</c:f>
              <c:numCache>
                <c:formatCode>0.0%</c:formatCode>
                <c:ptCount val="5"/>
                <c:pt idx="0">
                  <c:v>0.69489003998897392</c:v>
                </c:pt>
                <c:pt idx="1">
                  <c:v>0.68810387809399276</c:v>
                </c:pt>
                <c:pt idx="2">
                  <c:v>0.61587021590024116</c:v>
                </c:pt>
                <c:pt idx="3">
                  <c:v>0.5401944519390659</c:v>
                </c:pt>
                <c:pt idx="4">
                  <c:v>0.39965142080692112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BD-4CA1-8CE2-A14F03677F4C}"/>
            </c:ext>
          </c:extLst>
        </c:ser>
        <c:ser>
          <c:idx val="0"/>
          <c:order val="1"/>
          <c:tx>
            <c:strRef>
              <c:f>Ratios!$B$85</c:f>
              <c:strCache>
                <c:ptCount val="1"/>
                <c:pt idx="0">
                  <c:v>Return on Assets (ROA, NOPLAT)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Ratios!$C$75:$G$75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Ratios!$C$85:$G$85</c:f>
              <c:numCache>
                <c:formatCode>0.0%</c:formatCode>
                <c:ptCount val="5"/>
                <c:pt idx="0">
                  <c:v>0.15870683725530138</c:v>
                </c:pt>
                <c:pt idx="1">
                  <c:v>0.15776667882355808</c:v>
                </c:pt>
                <c:pt idx="2">
                  <c:v>0.17351867582589478</c:v>
                </c:pt>
                <c:pt idx="3">
                  <c:v>0.16444283833412121</c:v>
                </c:pt>
                <c:pt idx="4">
                  <c:v>0.10763961433492827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BD-4CA1-8CE2-A14F03677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22240"/>
        <c:axId val="45323776"/>
      </c:barChart>
      <c:lineChart>
        <c:grouping val="standard"/>
        <c:varyColors val="0"/>
        <c:ser>
          <c:idx val="1"/>
          <c:order val="2"/>
          <c:tx>
            <c:v>Earnings per Share</c:v>
          </c:tx>
          <c:marker>
            <c:symbol val="none"/>
          </c:marker>
          <c:val>
            <c:numRef>
              <c:f>Ratios!$C$95:$G$95</c:f>
              <c:numCache>
                <c:formatCode>0.00</c:formatCode>
                <c:ptCount val="5"/>
                <c:pt idx="0">
                  <c:v>2.74</c:v>
                </c:pt>
                <c:pt idx="1">
                  <c:v>2.89</c:v>
                </c:pt>
                <c:pt idx="2">
                  <c:v>3.61</c:v>
                </c:pt>
                <c:pt idx="3">
                  <c:v>3.77</c:v>
                </c:pt>
                <c:pt idx="4">
                  <c:v>2.3199999999999998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27872"/>
        <c:axId val="45325696"/>
      </c:lineChart>
      <c:catAx>
        <c:axId val="4532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45323776"/>
        <c:crosses val="autoZero"/>
        <c:auto val="1"/>
        <c:lblAlgn val="ctr"/>
        <c:lblOffset val="100"/>
        <c:noMultiLvlLbl val="0"/>
      </c:catAx>
      <c:valAx>
        <c:axId val="453237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Return (%)</a:t>
                </a:r>
              </a:p>
            </c:rich>
          </c:tx>
          <c:layout/>
          <c:overlay val="0"/>
        </c:title>
        <c:numFmt formatCode="0%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45322240"/>
        <c:crosses val="autoZero"/>
        <c:crossBetween val="between"/>
      </c:valAx>
      <c:valAx>
        <c:axId val="4532569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Earnings per Share ($)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45327872"/>
        <c:crosses val="max"/>
        <c:crossBetween val="between"/>
      </c:valAx>
      <c:catAx>
        <c:axId val="45327872"/>
        <c:scaling>
          <c:orientation val="minMax"/>
        </c:scaling>
        <c:delete val="1"/>
        <c:axPos val="b"/>
        <c:majorTickMark val="out"/>
        <c:minorTickMark val="none"/>
        <c:tickLblPos val="nextTo"/>
        <c:crossAx val="45325696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Payout Policy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Ratios!$B$104</c:f>
              <c:strCache>
                <c:ptCount val="1"/>
                <c:pt idx="0">
                  <c:v>Dividend payments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Ratios!$C$103:$G$103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Ratios!$C$104:$G$104</c:f>
              <c:numCache>
                <c:formatCode>#,##0</c:formatCode>
                <c:ptCount val="5"/>
                <c:pt idx="0">
                  <c:v>304083</c:v>
                </c:pt>
                <c:pt idx="1">
                  <c:v>341206</c:v>
                </c:pt>
                <c:pt idx="2">
                  <c:v>393801</c:v>
                </c:pt>
                <c:pt idx="3">
                  <c:v>440414</c:v>
                </c:pt>
                <c:pt idx="4">
                  <c:v>476132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6E6-4E1F-941D-A7B7487F6B57}"/>
            </c:ext>
          </c:extLst>
        </c:ser>
        <c:ser>
          <c:idx val="1"/>
          <c:order val="2"/>
          <c:tx>
            <c:strRef>
              <c:f>Ratios!$B$105</c:f>
              <c:strCache>
                <c:ptCount val="1"/>
                <c:pt idx="0">
                  <c:v>Share repruchases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Ratios!$C$103:$G$103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Ratios!$C$105:$G$105</c:f>
              <c:numCache>
                <c:formatCode>#,##0</c:formatCode>
                <c:ptCount val="5"/>
                <c:pt idx="0">
                  <c:v>206861</c:v>
                </c:pt>
                <c:pt idx="1">
                  <c:v>299706</c:v>
                </c:pt>
                <c:pt idx="2">
                  <c:v>149062</c:v>
                </c:pt>
                <c:pt idx="3">
                  <c:v>453506</c:v>
                </c:pt>
                <c:pt idx="4">
                  <c:v>511123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6E6-4E1F-941D-A7B7487F6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22848"/>
        <c:axId val="45428736"/>
      </c:barChart>
      <c:lineChart>
        <c:grouping val="standard"/>
        <c:varyColors val="0"/>
        <c:ser>
          <c:idx val="0"/>
          <c:order val="1"/>
          <c:tx>
            <c:strRef>
              <c:f>Ratios!$B$108</c:f>
              <c:strCache>
                <c:ptCount val="1"/>
                <c:pt idx="0">
                  <c:v>Dividend payout ratio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numRef>
              <c:f>Ratios!$C$103:$G$103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Ratios!$C$108:$G$108</c:f>
              <c:numCache>
                <c:formatCode>0%</c:formatCode>
                <c:ptCount val="5"/>
                <c:pt idx="0">
                  <c:v>0.48346799965657705</c:v>
                </c:pt>
                <c:pt idx="1">
                  <c:v>0.51625056170765182</c:v>
                </c:pt>
                <c:pt idx="2">
                  <c:v>0.47997001718527188</c:v>
                </c:pt>
                <c:pt idx="3">
                  <c:v>0.52002333182196026</c:v>
                </c:pt>
                <c:pt idx="4">
                  <c:v>0.92822121411206915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6E6-4E1F-941D-A7B7487F6B57}"/>
            </c:ext>
          </c:extLst>
        </c:ser>
        <c:ser>
          <c:idx val="2"/>
          <c:order val="3"/>
          <c:tx>
            <c:strRef>
              <c:f>Ratios!$B$109</c:f>
              <c:strCache>
                <c:ptCount val="1"/>
                <c:pt idx="0">
                  <c:v>Total payout ratio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Ratios!$C$103:$G$103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Ratios!$C$109:$G$109</c:f>
              <c:numCache>
                <c:formatCode>0%</c:formatCode>
                <c:ptCount val="5"/>
                <c:pt idx="0">
                  <c:v>0.81236068315732901</c:v>
                </c:pt>
                <c:pt idx="1">
                  <c:v>0.96971090779521618</c:v>
                </c:pt>
                <c:pt idx="2">
                  <c:v>0.66164881104732653</c:v>
                </c:pt>
                <c:pt idx="3">
                  <c:v>1.0555051764528074</c:v>
                </c:pt>
                <c:pt idx="4">
                  <c:v>1.9246575208938086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32832"/>
        <c:axId val="45430656"/>
      </c:lineChart>
      <c:catAx>
        <c:axId val="4542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45428736"/>
        <c:crosses val="autoZero"/>
        <c:auto val="1"/>
        <c:lblAlgn val="ctr"/>
        <c:lblOffset val="100"/>
        <c:noMultiLvlLbl val="0"/>
      </c:catAx>
      <c:valAx>
        <c:axId val="454287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Dividends and Repurchases ($ 1'000)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45422848"/>
        <c:crosses val="autoZero"/>
        <c:crossBetween val="between"/>
      </c:valAx>
      <c:valAx>
        <c:axId val="4543065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Payout ratio</a:t>
                </a:r>
              </a:p>
            </c:rich>
          </c:tx>
          <c:overlay val="0"/>
        </c:title>
        <c:numFmt formatCode="0.0%" sourceLinked="0"/>
        <c:majorTickMark val="out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45432832"/>
        <c:crosses val="max"/>
        <c:crossBetween val="between"/>
      </c:valAx>
      <c:catAx>
        <c:axId val="45432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430656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1"/>
            </a:pPr>
            <a:r>
              <a:rPr lang="en-US" sz="1200" b="1"/>
              <a:t>Debt ratios (market values)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Ratios!$B$43</c:f>
              <c:strCache>
                <c:ptCount val="1"/>
                <c:pt idx="0">
                  <c:v>   Debt ratio (liabilities)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Ratios!$C$34:$G$34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Ratios!$C$43:$G$43</c:f>
              <c:numCache>
                <c:formatCode>0.0%</c:formatCode>
                <c:ptCount val="5"/>
                <c:pt idx="0">
                  <c:v>0.20284481818472005</c:v>
                </c:pt>
                <c:pt idx="1">
                  <c:v>0.18713414094165007</c:v>
                </c:pt>
                <c:pt idx="2">
                  <c:v>0.14781603066692858</c:v>
                </c:pt>
                <c:pt idx="3">
                  <c:v>0.14865374987229807</c:v>
                </c:pt>
                <c:pt idx="4">
                  <c:v>0.18132782634224573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F3-4EEF-97B8-D4ABF32BF8E3}"/>
            </c:ext>
          </c:extLst>
        </c:ser>
        <c:ser>
          <c:idx val="5"/>
          <c:order val="1"/>
          <c:tx>
            <c:strRef>
              <c:f>Ratios!$B$44</c:f>
              <c:strCache>
                <c:ptCount val="1"/>
                <c:pt idx="0">
                  <c:v>   Debt-to-capital ratio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Ratios!$C$34:$G$34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Ratios!$C$44:$G$44</c:f>
              <c:numCache>
                <c:formatCode>0.0%</c:formatCode>
                <c:ptCount val="5"/>
                <c:pt idx="0">
                  <c:v>0.11951844051840678</c:v>
                </c:pt>
                <c:pt idx="1">
                  <c:v>0.10589655667435725</c:v>
                </c:pt>
                <c:pt idx="2">
                  <c:v>8.3376490846492249E-2</c:v>
                </c:pt>
                <c:pt idx="3">
                  <c:v>8.481320336486535E-2</c:v>
                </c:pt>
                <c:pt idx="4">
                  <c:v>0.11092889736347798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F3-4EEF-97B8-D4ABF32BF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68288"/>
        <c:axId val="45474176"/>
      </c:barChart>
      <c:catAx>
        <c:axId val="4546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45474176"/>
        <c:crosses val="autoZero"/>
        <c:auto val="1"/>
        <c:lblAlgn val="ctr"/>
        <c:lblOffset val="100"/>
        <c:noMultiLvlLbl val="0"/>
      </c:catAx>
      <c:valAx>
        <c:axId val="454741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Debt ratios (%)</a:t>
                </a:r>
              </a:p>
            </c:rich>
          </c:tx>
          <c:layout/>
          <c:overlay val="0"/>
        </c:title>
        <c:numFmt formatCode="0%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45468288"/>
        <c:crosses val="autoZero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1"/>
            </a:pPr>
            <a:r>
              <a:rPr lang="en-US" sz="1200" b="1"/>
              <a:t>Coverage ratios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Ratios!$B$53</c:f>
              <c:strCache>
                <c:ptCount val="1"/>
                <c:pt idx="0">
                  <c:v>Debt/EBIT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Ratios!$C$34:$G$34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Ratios!$C$53:$G$53</c:f>
              <c:numCache>
                <c:formatCode>0.00</c:formatCode>
                <c:ptCount val="5"/>
                <c:pt idx="0">
                  <c:v>1.7896899418783199</c:v>
                </c:pt>
                <c:pt idx="1">
                  <c:v>1.7161215247653778</c:v>
                </c:pt>
                <c:pt idx="2">
                  <c:v>1.4663245272414878</c:v>
                </c:pt>
                <c:pt idx="3">
                  <c:v>1.5642311319501156</c:v>
                </c:pt>
                <c:pt idx="4">
                  <c:v>2.3324558013951218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F3-4EEF-97B8-D4ABF32BF8E3}"/>
            </c:ext>
          </c:extLst>
        </c:ser>
        <c:ser>
          <c:idx val="5"/>
          <c:order val="1"/>
          <c:tx>
            <c:strRef>
              <c:f>Ratios!$B$54</c:f>
              <c:strCache>
                <c:ptCount val="1"/>
                <c:pt idx="0">
                  <c:v>Debt/EBITDA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Ratios!$C$34:$G$34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Ratios!$C$54:$G$54</c:f>
              <c:numCache>
                <c:formatCode>0.00</c:formatCode>
                <c:ptCount val="5"/>
                <c:pt idx="0">
                  <c:v>1.4858249704318018</c:v>
                </c:pt>
                <c:pt idx="1">
                  <c:v>1.4432990080874366</c:v>
                </c:pt>
                <c:pt idx="2">
                  <c:v>1.2747952678346341</c:v>
                </c:pt>
                <c:pt idx="3">
                  <c:v>1.3445869062840921</c:v>
                </c:pt>
                <c:pt idx="4">
                  <c:v>1.5481573583184787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F3-4EEF-97B8-D4ABF32BF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71392"/>
        <c:axId val="47372928"/>
      </c:barChart>
      <c:lineChart>
        <c:grouping val="standard"/>
        <c:varyColors val="0"/>
        <c:ser>
          <c:idx val="0"/>
          <c:order val="2"/>
          <c:tx>
            <c:v>ICR (EBIT)</c:v>
          </c:tx>
          <c:spPr>
            <a:ln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val>
            <c:numRef>
              <c:f>Ratios!$C$50:$G$50</c:f>
              <c:numCache>
                <c:formatCode>0.00</c:formatCode>
                <c:ptCount val="5"/>
                <c:pt idx="0">
                  <c:v>11.444930193202651</c:v>
                </c:pt>
                <c:pt idx="1">
                  <c:v>11.626657179629378</c:v>
                </c:pt>
                <c:pt idx="2">
                  <c:v>15.143861197881298</c:v>
                </c:pt>
                <c:pt idx="3">
                  <c:v>16.667396925729062</c:v>
                </c:pt>
                <c:pt idx="4">
                  <c:v>9.8111900012290469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77024"/>
        <c:axId val="47375104"/>
      </c:lineChart>
      <c:catAx>
        <c:axId val="4737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47372928"/>
        <c:crosses val="autoZero"/>
        <c:auto val="1"/>
        <c:lblAlgn val="ctr"/>
        <c:lblOffset val="100"/>
        <c:noMultiLvlLbl val="0"/>
      </c:catAx>
      <c:valAx>
        <c:axId val="473729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Debt/EBIT(DA) ratio</a:t>
                </a:r>
              </a:p>
            </c:rich>
          </c:tx>
          <c:layout/>
          <c:overlay val="0"/>
        </c:title>
        <c:numFmt formatCode="#,##0.0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47371392"/>
        <c:crosses val="autoZero"/>
        <c:crossBetween val="between"/>
      </c:valAx>
      <c:valAx>
        <c:axId val="4737510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Interest coverage ratio (ICR)</a:t>
                </a: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crossAx val="47377024"/>
        <c:crosses val="max"/>
        <c:crossBetween val="between"/>
      </c:valAx>
      <c:catAx>
        <c:axId val="47377024"/>
        <c:scaling>
          <c:orientation val="minMax"/>
        </c:scaling>
        <c:delete val="1"/>
        <c:axPos val="b"/>
        <c:majorTickMark val="out"/>
        <c:minorTickMark val="none"/>
        <c:tickLblPos val="nextTo"/>
        <c:crossAx val="47375104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Value Creation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95885416666666"/>
          <c:y val="0.13717219186985499"/>
          <c:w val="0.74355781249999997"/>
          <c:h val="0.70264987971427095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Ratios!$B$123</c:f>
              <c:strCache>
                <c:ptCount val="1"/>
                <c:pt idx="0">
                  <c:v>EVA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Ratios!$C$103:$G$103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Ratios!$C$123:$G$123</c:f>
              <c:numCache>
                <c:formatCode>#,##0</c:formatCode>
                <c:ptCount val="5"/>
                <c:pt idx="0">
                  <c:v>509460.07539526094</c:v>
                </c:pt>
                <c:pt idx="1">
                  <c:v>543673.2049546761</c:v>
                </c:pt>
                <c:pt idx="2">
                  <c:v>685248.32527922152</c:v>
                </c:pt>
                <c:pt idx="3">
                  <c:v>670246.13272238732</c:v>
                </c:pt>
                <c:pt idx="4">
                  <c:v>349927.17577910656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6E6-4E1F-941D-A7B7487F6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4176"/>
        <c:axId val="47475712"/>
      </c:barChart>
      <c:lineChart>
        <c:grouping val="standard"/>
        <c:varyColors val="0"/>
        <c:ser>
          <c:idx val="0"/>
          <c:order val="1"/>
          <c:tx>
            <c:strRef>
              <c:f>Ratios!$B$122</c:f>
              <c:strCache>
                <c:ptCount val="1"/>
                <c:pt idx="0">
                  <c:v>Return Spread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numRef>
              <c:f>Ratios!$C$103:$G$103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Ratios!$C$122:$G$122</c:f>
              <c:numCache>
                <c:formatCode>0.0%</c:formatCode>
                <c:ptCount val="5"/>
                <c:pt idx="0">
                  <c:v>0.18425945597979135</c:v>
                </c:pt>
                <c:pt idx="1">
                  <c:v>0.1969244673793325</c:v>
                </c:pt>
                <c:pt idx="2">
                  <c:v>0.23187585070279332</c:v>
                </c:pt>
                <c:pt idx="3">
                  <c:v>0.18732062817189588</c:v>
                </c:pt>
                <c:pt idx="4">
                  <c:v>9.464274820198329E-2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6E6-4E1F-941D-A7B7487F6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83904"/>
        <c:axId val="47481984"/>
      </c:lineChart>
      <c:catAx>
        <c:axId val="4747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47475712"/>
        <c:crosses val="autoZero"/>
        <c:auto val="1"/>
        <c:lblAlgn val="ctr"/>
        <c:lblOffset val="100"/>
        <c:noMultiLvlLbl val="0"/>
      </c:catAx>
      <c:valAx>
        <c:axId val="474757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Economic Value Added (EVA)</a:t>
                </a:r>
              </a:p>
            </c:rich>
          </c:tx>
          <c:layout>
            <c:manualLayout>
              <c:xMode val="edge"/>
              <c:yMode val="edge"/>
              <c:x val="2.21653878942881E-2"/>
              <c:y val="0.28195272560376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47474176"/>
        <c:crosses val="autoZero"/>
        <c:crossBetween val="between"/>
      </c:valAx>
      <c:valAx>
        <c:axId val="4748198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Return Spread (ROIC - WACC)</a:t>
                </a:r>
              </a:p>
            </c:rich>
          </c:tx>
          <c:overlay val="0"/>
        </c:title>
        <c:numFmt formatCode="0.0%" sourceLinked="0"/>
        <c:majorTickMark val="out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47483904"/>
        <c:crosses val="max"/>
        <c:crossBetween val="between"/>
      </c:valAx>
      <c:catAx>
        <c:axId val="47483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481984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 b="1"/>
            </a:pPr>
            <a:r>
              <a:rPr lang="en-US" sz="1400" b="1"/>
              <a:t>Liquidity</a:t>
            </a:r>
            <a:r>
              <a:rPr lang="en-US" sz="1400" b="1" baseline="0"/>
              <a:t> Ratios</a:t>
            </a:r>
          </a:p>
        </c:rich>
      </c:tx>
      <c:layout/>
      <c:overlay val="0"/>
      <c:spPr>
        <a:noFill/>
      </c:sp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Ratios!$B$7</c:f>
              <c:strCache>
                <c:ptCount val="1"/>
                <c:pt idx="0">
                  <c:v>Current Ratio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Ratios!$C$15:$G$15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Ratios!$C$7:$G$7</c:f>
              <c:numCache>
                <c:formatCode>0.00</c:formatCode>
                <c:ptCount val="5"/>
                <c:pt idx="0">
                  <c:v>1.7435692530510531</c:v>
                </c:pt>
                <c:pt idx="1">
                  <c:v>1.4366600730060974</c:v>
                </c:pt>
                <c:pt idx="2">
                  <c:v>1.7665448409186788</c:v>
                </c:pt>
                <c:pt idx="3">
                  <c:v>1.1608764407973149</c:v>
                </c:pt>
                <c:pt idx="4">
                  <c:v>0.83348572891981287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CAA-43FA-BD02-CB50782156F3}"/>
            </c:ext>
          </c:extLst>
        </c:ser>
        <c:ser>
          <c:idx val="5"/>
          <c:order val="1"/>
          <c:tx>
            <c:strRef>
              <c:f>Ratios!$B$8</c:f>
              <c:strCache>
                <c:ptCount val="1"/>
                <c:pt idx="0">
                  <c:v>Quick Ratio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Ratios!$C$15:$G$15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Ratios!$C$8:$G$8</c:f>
              <c:numCache>
                <c:formatCode>0.00</c:formatCode>
                <c:ptCount val="5"/>
                <c:pt idx="0">
                  <c:v>0.93134118549125688</c:v>
                </c:pt>
                <c:pt idx="1">
                  <c:v>0.80867848087498551</c:v>
                </c:pt>
                <c:pt idx="2">
                  <c:v>1.1338033070506</c:v>
                </c:pt>
                <c:pt idx="3">
                  <c:v>0.50205125211363433</c:v>
                </c:pt>
                <c:pt idx="4">
                  <c:v>0.4263478442787631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CAA-43FA-BD02-CB50782156F3}"/>
            </c:ext>
          </c:extLst>
        </c:ser>
        <c:ser>
          <c:idx val="6"/>
          <c:order val="2"/>
          <c:tx>
            <c:strRef>
              <c:f>Ratios!$B$9</c:f>
              <c:strCache>
                <c:ptCount val="1"/>
                <c:pt idx="0">
                  <c:v>Cash Ratio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Ratios!$C$15:$G$15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Ratios!$C$9:$G$9</c:f>
              <c:numCache>
                <c:formatCode>0.00</c:formatCode>
                <c:ptCount val="5"/>
                <c:pt idx="0">
                  <c:v>0.59098719942067257</c:v>
                </c:pt>
                <c:pt idx="1">
                  <c:v>0.49504931650250489</c:v>
                </c:pt>
                <c:pt idx="2">
                  <c:v>0.79438247413747798</c:v>
                </c:pt>
                <c:pt idx="3">
                  <c:v>0.19365824450429237</c:v>
                </c:pt>
                <c:pt idx="4">
                  <c:v>0.15624109522830482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CAA-43FA-BD02-CB5078215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12192"/>
        <c:axId val="47595904"/>
      </c:barChart>
      <c:catAx>
        <c:axId val="4751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47595904"/>
        <c:crosses val="autoZero"/>
        <c:auto val="1"/>
        <c:lblAlgn val="ctr"/>
        <c:lblOffset val="100"/>
        <c:noMultiLvlLbl val="0"/>
      </c:catAx>
      <c:valAx>
        <c:axId val="47595904"/>
        <c:scaling>
          <c:orientation val="minMax"/>
        </c:scaling>
        <c:delete val="0"/>
        <c:axPos val="l"/>
        <c:numFmt formatCode="#,##0.00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47512192"/>
        <c:crosses val="autoZero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194609</xdr:colOff>
      <xdr:row>29</xdr:row>
      <xdr:rowOff>103654</xdr:rowOff>
    </xdr:from>
    <xdr:to>
      <xdr:col>3</xdr:col>
      <xdr:colOff>1886874</xdr:colOff>
      <xdr:row>29</xdr:row>
      <xdr:rowOff>3703654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151465</xdr:colOff>
      <xdr:row>55</xdr:row>
      <xdr:rowOff>49119</xdr:rowOff>
    </xdr:from>
    <xdr:to>
      <xdr:col>3</xdr:col>
      <xdr:colOff>1843730</xdr:colOff>
      <xdr:row>55</xdr:row>
      <xdr:rowOff>3649119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180603</xdr:colOff>
      <xdr:row>97</xdr:row>
      <xdr:rowOff>84417</xdr:rowOff>
    </xdr:from>
    <xdr:to>
      <xdr:col>3</xdr:col>
      <xdr:colOff>1872868</xdr:colOff>
      <xdr:row>97</xdr:row>
      <xdr:rowOff>3684417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1196601</xdr:colOff>
      <xdr:row>98</xdr:row>
      <xdr:rowOff>52106</xdr:rowOff>
    </xdr:from>
    <xdr:to>
      <xdr:col>5</xdr:col>
      <xdr:colOff>1140748</xdr:colOff>
      <xdr:row>98</xdr:row>
      <xdr:rowOff>3652106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968190</xdr:colOff>
      <xdr:row>110</xdr:row>
      <xdr:rowOff>89648</xdr:rowOff>
    </xdr:from>
    <xdr:to>
      <xdr:col>5</xdr:col>
      <xdr:colOff>912337</xdr:colOff>
      <xdr:row>110</xdr:row>
      <xdr:rowOff>3689648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48000</xdr:colOff>
      <xdr:row>55</xdr:row>
      <xdr:rowOff>68168</xdr:rowOff>
    </xdr:from>
    <xdr:to>
      <xdr:col>6</xdr:col>
      <xdr:colOff>1930764</xdr:colOff>
      <xdr:row>55</xdr:row>
      <xdr:rowOff>3668168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1094814</xdr:colOff>
      <xdr:row>56</xdr:row>
      <xdr:rowOff>62753</xdr:rowOff>
    </xdr:from>
    <xdr:to>
      <xdr:col>5</xdr:col>
      <xdr:colOff>1038961</xdr:colOff>
      <xdr:row>56</xdr:row>
      <xdr:rowOff>3662753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890308</xdr:colOff>
      <xdr:row>124</xdr:row>
      <xdr:rowOff>84044</xdr:rowOff>
    </xdr:from>
    <xdr:to>
      <xdr:col>5</xdr:col>
      <xdr:colOff>834455</xdr:colOff>
      <xdr:row>124</xdr:row>
      <xdr:rowOff>3684044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383241</xdr:colOff>
      <xdr:row>10</xdr:row>
      <xdr:rowOff>38101</xdr:rowOff>
    </xdr:from>
    <xdr:to>
      <xdr:col>5</xdr:col>
      <xdr:colOff>797858</xdr:colOff>
      <xdr:row>10</xdr:row>
      <xdr:rowOff>3721100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47811</xdr:colOff>
      <xdr:row>97</xdr:row>
      <xdr:rowOff>101975</xdr:rowOff>
    </xdr:from>
    <xdr:to>
      <xdr:col>6</xdr:col>
      <xdr:colOff>1930575</xdr:colOff>
      <xdr:row>97</xdr:row>
      <xdr:rowOff>3701975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33617</xdr:colOff>
      <xdr:row>29</xdr:row>
      <xdr:rowOff>85912</xdr:rowOff>
    </xdr:from>
    <xdr:to>
      <xdr:col>6</xdr:col>
      <xdr:colOff>1916381</xdr:colOff>
      <xdr:row>29</xdr:row>
      <xdr:rowOff>3685912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13608</xdr:colOff>
      <xdr:row>68</xdr:row>
      <xdr:rowOff>40821</xdr:rowOff>
    </xdr:from>
    <xdr:to>
      <xdr:col>5</xdr:col>
      <xdr:colOff>1896372</xdr:colOff>
      <xdr:row>68</xdr:row>
      <xdr:rowOff>3640821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54"/>
  <sheetViews>
    <sheetView topLeftCell="B1" workbookViewId="0">
      <selection activeCell="H24" sqref="H24:H27"/>
    </sheetView>
  </sheetViews>
  <sheetFormatPr defaultColWidth="8.85546875" defaultRowHeight="15" x14ac:dyDescent="0.25"/>
  <cols>
    <col min="2" max="2" width="33.7109375" customWidth="1"/>
    <col min="3" max="8" width="12.140625" customWidth="1"/>
  </cols>
  <sheetData>
    <row r="2" spans="2:8" x14ac:dyDescent="0.25">
      <c r="B2" s="74" t="s">
        <v>114</v>
      </c>
    </row>
    <row r="4" spans="2:8" x14ac:dyDescent="0.2">
      <c r="B4" s="8" t="s">
        <v>17</v>
      </c>
      <c r="C4" s="9">
        <v>2010</v>
      </c>
      <c r="D4" s="9">
        <v>2011</v>
      </c>
      <c r="E4" s="9">
        <v>2012</v>
      </c>
      <c r="F4" s="9">
        <v>2013</v>
      </c>
      <c r="G4" s="9">
        <v>2014</v>
      </c>
      <c r="H4" s="9">
        <v>2015</v>
      </c>
    </row>
    <row r="5" spans="2:8" x14ac:dyDescent="0.2">
      <c r="B5" s="10" t="s">
        <v>18</v>
      </c>
      <c r="C5" s="27" t="s">
        <v>19</v>
      </c>
      <c r="D5" s="27" t="s">
        <v>19</v>
      </c>
      <c r="E5" s="27" t="s">
        <v>19</v>
      </c>
      <c r="F5" s="27" t="s">
        <v>19</v>
      </c>
      <c r="G5" s="27" t="s">
        <v>19</v>
      </c>
      <c r="H5" s="27" t="s">
        <v>19</v>
      </c>
    </row>
    <row r="6" spans="2:8" x14ac:dyDescent="0.2">
      <c r="B6" s="11" t="s">
        <v>21</v>
      </c>
      <c r="C6" s="12">
        <v>884642</v>
      </c>
      <c r="D6" s="12">
        <v>693686</v>
      </c>
      <c r="E6" s="12">
        <v>728272</v>
      </c>
      <c r="F6" s="12">
        <v>1118508</v>
      </c>
      <c r="G6" s="12">
        <v>374854</v>
      </c>
      <c r="H6" s="12">
        <v>346529</v>
      </c>
    </row>
    <row r="7" spans="2:8" x14ac:dyDescent="0.2">
      <c r="B7" s="11" t="s">
        <v>22</v>
      </c>
      <c r="C7" s="12">
        <v>0</v>
      </c>
      <c r="D7" s="14">
        <v>0</v>
      </c>
      <c r="E7" s="12">
        <v>0</v>
      </c>
      <c r="F7" s="14">
        <v>0</v>
      </c>
      <c r="G7" s="12">
        <v>97131</v>
      </c>
      <c r="H7" s="14">
        <v>0</v>
      </c>
    </row>
    <row r="8" spans="2:8" x14ac:dyDescent="0.2">
      <c r="B8" s="11" t="s">
        <v>23</v>
      </c>
      <c r="C8" s="12">
        <v>390061</v>
      </c>
      <c r="D8" s="12">
        <v>399499</v>
      </c>
      <c r="E8" s="12">
        <v>461383</v>
      </c>
      <c r="F8" s="12">
        <v>477912</v>
      </c>
      <c r="G8" s="12">
        <v>596940</v>
      </c>
      <c r="H8" s="12">
        <v>599073</v>
      </c>
    </row>
    <row r="9" spans="2:8" x14ac:dyDescent="0.2">
      <c r="B9" s="11" t="s">
        <v>24</v>
      </c>
      <c r="C9" s="12">
        <v>533622</v>
      </c>
      <c r="D9" s="12">
        <v>648953</v>
      </c>
      <c r="E9" s="12">
        <v>633262</v>
      </c>
      <c r="F9" s="12">
        <v>659541</v>
      </c>
      <c r="G9" s="12">
        <v>801036</v>
      </c>
      <c r="H9" s="12">
        <v>750970</v>
      </c>
    </row>
    <row r="10" spans="2:8" x14ac:dyDescent="0.2">
      <c r="B10" s="11" t="s">
        <v>25</v>
      </c>
      <c r="C10" s="12">
        <v>55760</v>
      </c>
      <c r="D10" s="14">
        <v>136861</v>
      </c>
      <c r="E10" s="12">
        <v>122224</v>
      </c>
      <c r="F10" s="14">
        <v>52511</v>
      </c>
      <c r="G10" s="12">
        <v>100515</v>
      </c>
      <c r="H10" s="14">
        <v>0</v>
      </c>
    </row>
    <row r="11" spans="2:8" x14ac:dyDescent="0.2">
      <c r="B11" s="11" t="s">
        <v>26</v>
      </c>
      <c r="C11" s="12">
        <v>141132</v>
      </c>
      <c r="D11" s="12">
        <v>167559</v>
      </c>
      <c r="E11" s="12">
        <v>168344</v>
      </c>
      <c r="F11" s="12">
        <v>178862</v>
      </c>
      <c r="G11" s="12">
        <v>276571</v>
      </c>
      <c r="H11" s="12">
        <v>152026</v>
      </c>
    </row>
    <row r="12" spans="2:8" x14ac:dyDescent="0.2">
      <c r="B12" s="16" t="s">
        <v>27</v>
      </c>
      <c r="C12" s="17">
        <f t="shared" ref="C12" si="0">SUM(C6:C11)</f>
        <v>2005217</v>
      </c>
      <c r="D12" s="17">
        <f t="shared" ref="D12" si="1">SUM(D6:D11)</f>
        <v>2046558</v>
      </c>
      <c r="E12" s="17">
        <f t="shared" ref="E12" si="2">SUM(E6:E11)</f>
        <v>2113485</v>
      </c>
      <c r="F12" s="17">
        <f t="shared" ref="F12" si="3">SUM(F6:F11)</f>
        <v>2487334</v>
      </c>
      <c r="G12" s="17">
        <f>SUM(G6:G11)</f>
        <v>2247047</v>
      </c>
      <c r="H12" s="17">
        <f>SUM(H6:H11)</f>
        <v>1848598</v>
      </c>
    </row>
    <row r="13" spans="2:8" x14ac:dyDescent="0.2">
      <c r="B13" s="11" t="s">
        <v>28</v>
      </c>
      <c r="C13" s="12">
        <v>1437702</v>
      </c>
      <c r="D13" s="12">
        <v>1559717</v>
      </c>
      <c r="E13" s="12">
        <v>1674071</v>
      </c>
      <c r="F13" s="12">
        <v>1805345</v>
      </c>
      <c r="G13" s="12">
        <v>2151901</v>
      </c>
      <c r="H13" s="12">
        <v>2240460</v>
      </c>
    </row>
    <row r="14" spans="2:8" x14ac:dyDescent="0.2">
      <c r="B14" s="11" t="s">
        <v>29</v>
      </c>
      <c r="C14" s="12">
        <v>524134</v>
      </c>
      <c r="D14" s="12">
        <v>516745</v>
      </c>
      <c r="E14" s="12">
        <v>588003</v>
      </c>
      <c r="F14" s="12">
        <v>576561</v>
      </c>
      <c r="G14" s="12">
        <v>792955</v>
      </c>
      <c r="H14" s="12">
        <v>684252</v>
      </c>
    </row>
    <row r="15" spans="2:8" x14ac:dyDescent="0.2">
      <c r="B15" s="11" t="s">
        <v>30</v>
      </c>
      <c r="C15" s="12">
        <v>123080</v>
      </c>
      <c r="D15" s="12">
        <v>111913</v>
      </c>
      <c r="E15" s="12">
        <v>214713</v>
      </c>
      <c r="F15" s="12">
        <v>195244</v>
      </c>
      <c r="G15" s="12">
        <v>294841</v>
      </c>
      <c r="H15" s="12">
        <v>379305</v>
      </c>
    </row>
    <row r="16" spans="2:8" x14ac:dyDescent="0.2">
      <c r="B16" s="11" t="s">
        <v>31</v>
      </c>
      <c r="C16" s="12">
        <v>161212</v>
      </c>
      <c r="D16" s="12">
        <v>138722</v>
      </c>
      <c r="E16" s="12">
        <v>12448</v>
      </c>
      <c r="F16" s="12">
        <v>0</v>
      </c>
      <c r="G16" s="12">
        <v>136126</v>
      </c>
      <c r="H16" s="12">
        <v>155366</v>
      </c>
    </row>
    <row r="17" spans="2:11" x14ac:dyDescent="0.2">
      <c r="B17" s="11" t="s">
        <v>25</v>
      </c>
      <c r="C17" s="14">
        <v>21387</v>
      </c>
      <c r="D17" s="12">
        <v>38544</v>
      </c>
      <c r="E17" s="14">
        <v>152119</v>
      </c>
      <c r="F17" s="12">
        <v>293004</v>
      </c>
      <c r="G17" s="14">
        <v>0</v>
      </c>
      <c r="H17" s="12">
        <v>36390</v>
      </c>
    </row>
    <row r="18" spans="2:11" x14ac:dyDescent="0.2">
      <c r="B18" s="8" t="s">
        <v>32</v>
      </c>
      <c r="C18" s="19">
        <f t="shared" ref="C18" si="4">SUM(C12:C17)</f>
        <v>4272732</v>
      </c>
      <c r="D18" s="19">
        <f t="shared" ref="D18" si="5">SUM(D12:D17)</f>
        <v>4412199</v>
      </c>
      <c r="E18" s="19">
        <f t="shared" ref="E18" si="6">SUM(E12:E17)</f>
        <v>4754839</v>
      </c>
      <c r="F18" s="19">
        <f t="shared" ref="F18" si="7">SUM(F12:F17)</f>
        <v>5357488</v>
      </c>
      <c r="G18" s="19">
        <f>SUM(G12:G17)</f>
        <v>5622870</v>
      </c>
      <c r="H18" s="19">
        <f>SUM(H12:H17)</f>
        <v>5344371</v>
      </c>
    </row>
    <row r="19" spans="2:11" x14ac:dyDescent="0.2">
      <c r="B19" s="21"/>
      <c r="C19" s="14"/>
      <c r="D19" s="14"/>
      <c r="E19" s="14"/>
      <c r="F19" s="14"/>
      <c r="G19" s="14" t="s">
        <v>1</v>
      </c>
      <c r="H19" s="14" t="s">
        <v>1</v>
      </c>
      <c r="J19" s="58"/>
    </row>
    <row r="20" spans="2:11" x14ac:dyDescent="0.2">
      <c r="B20" s="8" t="s">
        <v>33</v>
      </c>
      <c r="C20" s="26"/>
      <c r="D20" s="26"/>
      <c r="E20" s="26" t="s">
        <v>19</v>
      </c>
      <c r="F20" s="26" t="s">
        <v>19</v>
      </c>
      <c r="G20" s="26" t="s">
        <v>19</v>
      </c>
      <c r="H20" s="26" t="s">
        <v>19</v>
      </c>
    </row>
    <row r="21" spans="2:11" x14ac:dyDescent="0.2">
      <c r="B21" s="11" t="s">
        <v>34</v>
      </c>
      <c r="C21" s="12">
        <v>410655</v>
      </c>
      <c r="D21" s="12">
        <v>420017</v>
      </c>
      <c r="E21" s="12">
        <v>441977</v>
      </c>
      <c r="F21" s="12">
        <v>461514</v>
      </c>
      <c r="G21" s="12">
        <v>482017</v>
      </c>
      <c r="H21" s="12">
        <v>474266</v>
      </c>
    </row>
    <row r="22" spans="2:11" x14ac:dyDescent="0.2">
      <c r="B22" s="11" t="s">
        <v>35</v>
      </c>
      <c r="C22" s="12">
        <v>593308</v>
      </c>
      <c r="D22" s="12">
        <v>612186</v>
      </c>
      <c r="E22" s="12">
        <v>650906</v>
      </c>
      <c r="F22" s="12">
        <v>699722</v>
      </c>
      <c r="G22" s="12">
        <v>813513</v>
      </c>
      <c r="H22" s="12">
        <v>856967</v>
      </c>
    </row>
    <row r="23" spans="2:11" x14ac:dyDescent="0.2">
      <c r="B23" s="11" t="s">
        <v>36</v>
      </c>
      <c r="C23" s="12">
        <v>9402</v>
      </c>
      <c r="D23" s="12">
        <v>1899</v>
      </c>
      <c r="E23" s="12">
        <v>2329</v>
      </c>
      <c r="F23" s="12">
        <v>79911</v>
      </c>
      <c r="G23" s="12">
        <v>4616</v>
      </c>
      <c r="H23" s="12">
        <v>23243</v>
      </c>
    </row>
    <row r="24" spans="2:11" x14ac:dyDescent="0.2">
      <c r="B24" s="11" t="s">
        <v>37</v>
      </c>
      <c r="C24" s="12">
        <v>24088</v>
      </c>
      <c r="D24" s="12">
        <v>42080</v>
      </c>
      <c r="E24" s="12">
        <v>118164</v>
      </c>
      <c r="F24" s="12">
        <v>165961</v>
      </c>
      <c r="G24" s="12">
        <v>384696</v>
      </c>
      <c r="H24" s="12">
        <v>363513</v>
      </c>
    </row>
    <row r="25" spans="2:11" x14ac:dyDescent="0.2">
      <c r="B25" s="11" t="s">
        <v>38</v>
      </c>
      <c r="C25" s="12">
        <v>261392</v>
      </c>
      <c r="D25" s="12">
        <v>97593</v>
      </c>
      <c r="E25" s="12">
        <v>257734</v>
      </c>
      <c r="F25" s="12">
        <v>914</v>
      </c>
      <c r="G25" s="12">
        <v>250805</v>
      </c>
      <c r="H25" s="12">
        <v>499923</v>
      </c>
    </row>
    <row r="26" spans="2:11" x14ac:dyDescent="0.2">
      <c r="B26" s="16" t="s">
        <v>39</v>
      </c>
      <c r="C26" s="17">
        <f t="shared" ref="C26" si="8">SUM(C21:C25)</f>
        <v>1298845</v>
      </c>
      <c r="D26" s="17">
        <f t="shared" ref="D26" si="9">SUM(D21:D25)</f>
        <v>1173775</v>
      </c>
      <c r="E26" s="17">
        <f t="shared" ref="E26:F26" si="10">SUM(E21:E25)</f>
        <v>1471110</v>
      </c>
      <c r="F26" s="17">
        <f t="shared" si="10"/>
        <v>1408022</v>
      </c>
      <c r="G26" s="17">
        <f>SUM(G21:G25)</f>
        <v>1935647</v>
      </c>
      <c r="H26" s="17">
        <f>SUM(H21:H25)</f>
        <v>2217912</v>
      </c>
    </row>
    <row r="27" spans="2:11" x14ac:dyDescent="0.2">
      <c r="B27" s="11" t="s">
        <v>40</v>
      </c>
      <c r="C27" s="12">
        <v>1541825</v>
      </c>
      <c r="D27" s="12">
        <v>1748500</v>
      </c>
      <c r="E27" s="12">
        <v>1530967</v>
      </c>
      <c r="F27" s="12">
        <v>1795142</v>
      </c>
      <c r="G27" s="12">
        <v>1542317</v>
      </c>
      <c r="H27" s="12">
        <v>1557091</v>
      </c>
      <c r="K27" s="58"/>
    </row>
    <row r="28" spans="2:11" x14ac:dyDescent="0.2">
      <c r="B28" s="11" t="s">
        <v>41</v>
      </c>
      <c r="C28" s="12">
        <v>494461</v>
      </c>
      <c r="D28" s="12">
        <v>617276</v>
      </c>
      <c r="E28" s="12">
        <v>668732</v>
      </c>
      <c r="F28" s="12">
        <v>434068</v>
      </c>
      <c r="G28" s="12">
        <v>526003</v>
      </c>
      <c r="H28" s="12">
        <v>468718</v>
      </c>
    </row>
    <row r="29" spans="2:11" x14ac:dyDescent="0.2">
      <c r="B29" s="11" t="s">
        <v>25</v>
      </c>
      <c r="C29" s="12">
        <v>0</v>
      </c>
      <c r="D29" s="12">
        <v>0</v>
      </c>
      <c r="E29" s="12">
        <v>35657</v>
      </c>
      <c r="F29" s="12">
        <v>104204</v>
      </c>
      <c r="G29" s="12">
        <v>99373</v>
      </c>
      <c r="H29" s="12">
        <v>53188</v>
      </c>
    </row>
    <row r="30" spans="2:11" x14ac:dyDescent="0.2">
      <c r="B30" s="8" t="s">
        <v>42</v>
      </c>
      <c r="C30" s="19">
        <f t="shared" ref="C30" si="11">SUM(C26:C29)</f>
        <v>3335131</v>
      </c>
      <c r="D30" s="19">
        <f t="shared" ref="D30" si="12">SUM(D26:D29)</f>
        <v>3539551</v>
      </c>
      <c r="E30" s="19">
        <f t="shared" ref="E30:F30" si="13">SUM(E26:E29)</f>
        <v>3706466</v>
      </c>
      <c r="F30" s="19">
        <f t="shared" si="13"/>
        <v>3741436</v>
      </c>
      <c r="G30" s="19">
        <f>SUM(G26:G29)</f>
        <v>4103340</v>
      </c>
      <c r="H30" s="19">
        <f>SUM(H26:H29)</f>
        <v>4296909</v>
      </c>
    </row>
    <row r="31" spans="2:11" x14ac:dyDescent="0.2">
      <c r="B31" s="23" t="s">
        <v>1</v>
      </c>
      <c r="C31" s="14"/>
      <c r="D31" s="14"/>
      <c r="E31" s="14"/>
      <c r="F31" s="14"/>
      <c r="G31" s="14" t="s">
        <v>1</v>
      </c>
      <c r="H31" s="14" t="s">
        <v>1</v>
      </c>
    </row>
    <row r="32" spans="2:11" x14ac:dyDescent="0.2">
      <c r="B32" s="11" t="s">
        <v>43</v>
      </c>
      <c r="C32" s="12">
        <v>299195</v>
      </c>
      <c r="D32" s="12">
        <v>299269</v>
      </c>
      <c r="E32" s="12">
        <v>299272</v>
      </c>
      <c r="F32" s="12">
        <v>299281</v>
      </c>
      <c r="G32" s="12">
        <v>299281</v>
      </c>
      <c r="H32" s="12">
        <v>299281</v>
      </c>
    </row>
    <row r="33" spans="2:10" x14ac:dyDescent="0.2">
      <c r="B33" s="11" t="s">
        <v>44</v>
      </c>
      <c r="C33" s="12">
        <v>60706</v>
      </c>
      <c r="D33" s="12">
        <v>60632</v>
      </c>
      <c r="E33" s="12">
        <v>60629</v>
      </c>
      <c r="F33" s="12">
        <v>60620</v>
      </c>
      <c r="G33" s="12">
        <v>60620</v>
      </c>
      <c r="H33" s="12">
        <v>60620</v>
      </c>
    </row>
    <row r="34" spans="2:10" x14ac:dyDescent="0.2">
      <c r="B34" s="11" t="s">
        <v>45</v>
      </c>
      <c r="C34" s="12">
        <v>434865</v>
      </c>
      <c r="D34" s="12">
        <v>490817</v>
      </c>
      <c r="E34" s="12">
        <v>592975</v>
      </c>
      <c r="F34" s="12">
        <v>664944</v>
      </c>
      <c r="G34" s="12">
        <v>754186</v>
      </c>
      <c r="H34" s="12">
        <v>783877</v>
      </c>
      <c r="J34" s="58"/>
    </row>
    <row r="35" spans="2:10" x14ac:dyDescent="0.2">
      <c r="B35" s="11" t="s">
        <v>46</v>
      </c>
      <c r="C35" s="12">
        <v>4374718</v>
      </c>
      <c r="D35" s="12">
        <v>4699597</v>
      </c>
      <c r="E35" s="12">
        <v>5027617</v>
      </c>
      <c r="F35" s="12">
        <v>5454286</v>
      </c>
      <c r="G35" s="12">
        <v>5860784</v>
      </c>
      <c r="H35" s="12">
        <v>5897603</v>
      </c>
    </row>
    <row r="36" spans="2:10" x14ac:dyDescent="0.2">
      <c r="B36" s="11" t="s">
        <v>47</v>
      </c>
      <c r="C36" s="12">
        <v>-4052101</v>
      </c>
      <c r="D36" s="12">
        <v>-4258962</v>
      </c>
      <c r="E36" s="12">
        <v>-4558668</v>
      </c>
      <c r="F36" s="12">
        <v>-4707730</v>
      </c>
      <c r="G36" s="12">
        <v>-5161236</v>
      </c>
      <c r="H36" s="12">
        <v>-5672359</v>
      </c>
    </row>
    <row r="37" spans="2:10" x14ac:dyDescent="0.2">
      <c r="B37" s="11" t="s">
        <v>48</v>
      </c>
      <c r="C37" s="12">
        <v>-215067</v>
      </c>
      <c r="D37" s="12">
        <v>-442331</v>
      </c>
      <c r="E37" s="12">
        <v>-385076</v>
      </c>
      <c r="F37" s="12">
        <v>-166567</v>
      </c>
      <c r="G37" s="12">
        <v>-358573</v>
      </c>
      <c r="H37" s="12">
        <v>-371025</v>
      </c>
    </row>
    <row r="38" spans="2:10" x14ac:dyDescent="0.2">
      <c r="B38" s="16" t="s">
        <v>49</v>
      </c>
      <c r="C38" s="17">
        <f t="shared" ref="C38" si="14">SUM(C32:C37)</f>
        <v>902316</v>
      </c>
      <c r="D38" s="17">
        <f t="shared" ref="D38" si="15">SUM(D32:D37)</f>
        <v>849022</v>
      </c>
      <c r="E38" s="17">
        <f t="shared" ref="E38:G38" si="16">SUM(E32:E37)</f>
        <v>1036749</v>
      </c>
      <c r="F38" s="17">
        <f t="shared" si="16"/>
        <v>1604834</v>
      </c>
      <c r="G38" s="17">
        <f t="shared" si="16"/>
        <v>1455062</v>
      </c>
      <c r="H38" s="17">
        <f>SUM(H32:H37)</f>
        <v>997997</v>
      </c>
    </row>
    <row r="39" spans="2:10" x14ac:dyDescent="0.2">
      <c r="B39" s="11" t="s">
        <v>50</v>
      </c>
      <c r="C39" s="12">
        <v>35285</v>
      </c>
      <c r="D39" s="12">
        <v>23626</v>
      </c>
      <c r="E39" s="12">
        <v>11624</v>
      </c>
      <c r="F39" s="12">
        <v>11218</v>
      </c>
      <c r="G39" s="12">
        <v>64468</v>
      </c>
      <c r="H39" s="12">
        <v>49465</v>
      </c>
    </row>
    <row r="40" spans="2:10" x14ac:dyDescent="0.2">
      <c r="B40" s="8" t="s">
        <v>51</v>
      </c>
      <c r="C40" s="24">
        <f t="shared" ref="C40" si="17">C38+C39</f>
        <v>937601</v>
      </c>
      <c r="D40" s="24">
        <f t="shared" ref="D40" si="18">D38+D39</f>
        <v>872648</v>
      </c>
      <c r="E40" s="24">
        <f t="shared" ref="E40:F40" si="19">E38+E39</f>
        <v>1048373</v>
      </c>
      <c r="F40" s="24">
        <f t="shared" si="19"/>
        <v>1616052</v>
      </c>
      <c r="G40" s="24">
        <f>G38+G39</f>
        <v>1519530</v>
      </c>
      <c r="H40" s="24">
        <f>H38+H39</f>
        <v>1047462</v>
      </c>
    </row>
    <row r="41" spans="2:10" x14ac:dyDescent="0.2">
      <c r="B41" s="8" t="s">
        <v>52</v>
      </c>
      <c r="C41" s="19">
        <f t="shared" ref="C41" si="20">C40+C30</f>
        <v>4272732</v>
      </c>
      <c r="D41" s="19">
        <f t="shared" ref="D41" si="21">D40+D30</f>
        <v>4412199</v>
      </c>
      <c r="E41" s="19">
        <f t="shared" ref="E41:F41" si="22">E40+E30</f>
        <v>4754839</v>
      </c>
      <c r="F41" s="19">
        <f t="shared" si="22"/>
        <v>5357488</v>
      </c>
      <c r="G41" s="19">
        <f>G40+G30</f>
        <v>5622870</v>
      </c>
      <c r="H41" s="19">
        <f>H40+H30</f>
        <v>5344371</v>
      </c>
    </row>
    <row r="44" spans="2:10" x14ac:dyDescent="0.2">
      <c r="B44" s="8" t="s">
        <v>77</v>
      </c>
      <c r="C44" s="19"/>
      <c r="D44" s="19">
        <v>13910000</v>
      </c>
      <c r="E44" s="19">
        <v>16100000</v>
      </c>
      <c r="F44" s="19">
        <v>21570000</v>
      </c>
      <c r="G44" s="19">
        <v>23500000</v>
      </c>
      <c r="H44" s="19">
        <v>19400000</v>
      </c>
    </row>
    <row r="53" spans="8:8" x14ac:dyDescent="0.25">
      <c r="H53" s="58"/>
    </row>
    <row r="54" spans="8:8" x14ac:dyDescent="0.25">
      <c r="H54" s="58"/>
    </row>
  </sheetData>
  <pageMargins left="0.7" right="0.7" top="0.75" bottom="0.75" header="0.3" footer="0.3"/>
  <pageSetup paperSize="9" scale="8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83"/>
  <sheetViews>
    <sheetView topLeftCell="A4" workbookViewId="0">
      <selection activeCell="B44" sqref="B44"/>
    </sheetView>
  </sheetViews>
  <sheetFormatPr defaultColWidth="8.85546875" defaultRowHeight="15" x14ac:dyDescent="0.25"/>
  <cols>
    <col min="2" max="2" width="33.7109375" customWidth="1"/>
    <col min="3" max="8" width="12.140625" customWidth="1"/>
  </cols>
  <sheetData>
    <row r="2" spans="2:8" x14ac:dyDescent="0.25">
      <c r="B2" s="74" t="s">
        <v>115</v>
      </c>
    </row>
    <row r="4" spans="2:8" x14ac:dyDescent="0.2">
      <c r="B4" s="8" t="s">
        <v>17</v>
      </c>
      <c r="C4" s="9">
        <v>2010</v>
      </c>
      <c r="D4" s="9">
        <v>2011</v>
      </c>
      <c r="E4" s="9">
        <v>2012</v>
      </c>
      <c r="F4" s="9">
        <v>2013</v>
      </c>
      <c r="G4" s="9">
        <v>2014</v>
      </c>
      <c r="H4" s="9">
        <v>2015</v>
      </c>
    </row>
    <row r="5" spans="2:8" x14ac:dyDescent="0.2">
      <c r="B5" s="10" t="s">
        <v>18</v>
      </c>
      <c r="C5" s="27" t="s">
        <v>20</v>
      </c>
      <c r="D5" s="27" t="s">
        <v>20</v>
      </c>
      <c r="E5" s="27" t="s">
        <v>20</v>
      </c>
      <c r="F5" s="27" t="s">
        <v>20</v>
      </c>
      <c r="G5" s="27" t="s">
        <v>20</v>
      </c>
      <c r="H5" s="27" t="s">
        <v>20</v>
      </c>
    </row>
    <row r="6" spans="2:8" x14ac:dyDescent="0.2">
      <c r="B6" s="11" t="s">
        <v>21</v>
      </c>
      <c r="C6" s="13">
        <f>'Balance Sheet (USD)'!C6/'Balance Sheet (USD)'!C$18</f>
        <v>0.20704364327086278</v>
      </c>
      <c r="D6" s="13">
        <f>'Balance Sheet (USD)'!D6/'Balance Sheet (USD)'!D$18</f>
        <v>0.15722001659489973</v>
      </c>
      <c r="E6" s="13">
        <f>'Balance Sheet (USD)'!E6/'Balance Sheet (USD)'!E$18</f>
        <v>0.1531643868488502</v>
      </c>
      <c r="F6" s="13">
        <f>'Balance Sheet (USD)'!F6/'Balance Sheet (USD)'!F$18</f>
        <v>0.20877470934139283</v>
      </c>
      <c r="G6" s="13">
        <f>'Balance Sheet (USD)'!G6/'Balance Sheet (USD)'!G$18</f>
        <v>6.6665955286179482E-2</v>
      </c>
      <c r="H6" s="13">
        <f>'Balance Sheet (USD)'!H6/'Balance Sheet (USD)'!H$18</f>
        <v>6.4839997073556463E-2</v>
      </c>
    </row>
    <row r="7" spans="2:8" x14ac:dyDescent="0.2">
      <c r="B7" s="11" t="s">
        <v>22</v>
      </c>
      <c r="C7" s="13">
        <f>'Balance Sheet (USD)'!C7/'Balance Sheet (USD)'!C$18</f>
        <v>0</v>
      </c>
      <c r="D7" s="15">
        <f>'Balance Sheet (USD)'!D7/'Balance Sheet (USD)'!D$18</f>
        <v>0</v>
      </c>
      <c r="E7" s="13">
        <f>'Balance Sheet (USD)'!E7/'Balance Sheet (USD)'!E$18</f>
        <v>0</v>
      </c>
      <c r="F7" s="15">
        <f>'Balance Sheet (USD)'!F7/'Balance Sheet (USD)'!F$18</f>
        <v>0</v>
      </c>
      <c r="G7" s="13">
        <f>'Balance Sheet (USD)'!G7/'Balance Sheet (USD)'!G$18</f>
        <v>1.727427452528691E-2</v>
      </c>
      <c r="H7" s="15">
        <f>'Balance Sheet (USD)'!H7/'Balance Sheet (USD)'!H$18</f>
        <v>0</v>
      </c>
    </row>
    <row r="8" spans="2:8" x14ac:dyDescent="0.2">
      <c r="B8" s="11" t="s">
        <v>23</v>
      </c>
      <c r="C8" s="13">
        <f>'Balance Sheet (USD)'!C8/'Balance Sheet (USD)'!C$18</f>
        <v>9.1290771337870003E-2</v>
      </c>
      <c r="D8" s="13">
        <f>'Balance Sheet (USD)'!D8/'Balance Sheet (USD)'!D$18</f>
        <v>9.054419349625889E-2</v>
      </c>
      <c r="E8" s="13">
        <f>'Balance Sheet (USD)'!E8/'Balance Sheet (USD)'!E$18</f>
        <v>9.7034410628835166E-2</v>
      </c>
      <c r="F8" s="13">
        <f>'Balance Sheet (USD)'!F8/'Balance Sheet (USD)'!F$18</f>
        <v>8.9204492851873859E-2</v>
      </c>
      <c r="G8" s="13">
        <f>'Balance Sheet (USD)'!G8/'Balance Sheet (USD)'!G$18</f>
        <v>0.10616286700563947</v>
      </c>
      <c r="H8" s="13">
        <f>'Balance Sheet (USD)'!H8/'Balance Sheet (USD)'!H$18</f>
        <v>0.11209420154401706</v>
      </c>
    </row>
    <row r="9" spans="2:8" x14ac:dyDescent="0.2">
      <c r="B9" s="11" t="s">
        <v>24</v>
      </c>
      <c r="C9" s="13">
        <f>'Balance Sheet (USD)'!C9/'Balance Sheet (USD)'!C$18</f>
        <v>0.12489011714284912</v>
      </c>
      <c r="D9" s="13">
        <f>'Balance Sheet (USD)'!D9/'Balance Sheet (USD)'!D$18</f>
        <v>0.14708153462706464</v>
      </c>
      <c r="E9" s="13">
        <f>'Balance Sheet (USD)'!E9/'Balance Sheet (USD)'!E$18</f>
        <v>0.13318263772968969</v>
      </c>
      <c r="F9" s="13">
        <f>'Balance Sheet (USD)'!F9/'Balance Sheet (USD)'!F$18</f>
        <v>0.1231063886657329</v>
      </c>
      <c r="G9" s="13">
        <f>'Balance Sheet (USD)'!G9/'Balance Sheet (USD)'!G$18</f>
        <v>0.14246034498396726</v>
      </c>
      <c r="H9" s="13">
        <f>'Balance Sheet (USD)'!H9/'Balance Sheet (USD)'!H$18</f>
        <v>0.14051606821457568</v>
      </c>
    </row>
    <row r="10" spans="2:8" x14ac:dyDescent="0.2">
      <c r="B10" s="11" t="s">
        <v>25</v>
      </c>
      <c r="C10" s="13">
        <f>'Balance Sheet (USD)'!C10/'Balance Sheet (USD)'!C$18</f>
        <v>1.3050198327440149E-2</v>
      </c>
      <c r="D10" s="15">
        <f>'Balance Sheet (USD)'!D10/'Balance Sheet (USD)'!D$18</f>
        <v>3.101877317863496E-2</v>
      </c>
      <c r="E10" s="13">
        <f>'Balance Sheet (USD)'!E10/'Balance Sheet (USD)'!E$18</f>
        <v>2.5705181605518084E-2</v>
      </c>
      <c r="F10" s="15">
        <f>'Balance Sheet (USD)'!F10/'Balance Sheet (USD)'!F$18</f>
        <v>9.8014218603942743E-3</v>
      </c>
      <c r="G10" s="13">
        <f>'Balance Sheet (USD)'!G10/'Balance Sheet (USD)'!G$18</f>
        <v>1.787610241744874E-2</v>
      </c>
      <c r="H10" s="15">
        <f>'Balance Sheet (USD)'!H10/'Balance Sheet (USD)'!H$18</f>
        <v>0</v>
      </c>
    </row>
    <row r="11" spans="2:8" x14ac:dyDescent="0.2">
      <c r="B11" s="11" t="s">
        <v>26</v>
      </c>
      <c r="C11" s="13">
        <f>'Balance Sheet (USD)'!C11/'Balance Sheet (USD)'!C$18</f>
        <v>3.3030857072243236E-2</v>
      </c>
      <c r="D11" s="13">
        <f>'Balance Sheet (USD)'!D11/'Balance Sheet (USD)'!D$18</f>
        <v>3.7976301612869232E-2</v>
      </c>
      <c r="E11" s="13">
        <f>'Balance Sheet (USD)'!E11/'Balance Sheet (USD)'!E$18</f>
        <v>3.5404773957646095E-2</v>
      </c>
      <c r="F11" s="13">
        <f>'Balance Sheet (USD)'!F11/'Balance Sheet (USD)'!F$18</f>
        <v>3.3385422421851434E-2</v>
      </c>
      <c r="G11" s="13">
        <f>'Balance Sheet (USD)'!G11/'Balance Sheet (USD)'!G$18</f>
        <v>4.9186803180582161E-2</v>
      </c>
      <c r="H11" s="13">
        <f>'Balance Sheet (USD)'!H11/'Balance Sheet (USD)'!H$18</f>
        <v>2.8446004216398899E-2</v>
      </c>
    </row>
    <row r="12" spans="2:8" x14ac:dyDescent="0.2">
      <c r="B12" s="16" t="s">
        <v>27</v>
      </c>
      <c r="C12" s="18">
        <f>'Balance Sheet (USD)'!C12/'Balance Sheet (USD)'!C$18</f>
        <v>0.4693055871512653</v>
      </c>
      <c r="D12" s="18">
        <f>'Balance Sheet (USD)'!D12/'Balance Sheet (USD)'!D$18</f>
        <v>0.46384081950972744</v>
      </c>
      <c r="E12" s="18">
        <f>'Balance Sheet (USD)'!E12/'Balance Sheet (USD)'!E$18</f>
        <v>0.44449139077053923</v>
      </c>
      <c r="F12" s="18">
        <f>'Balance Sheet (USD)'!F12/'Balance Sheet (USD)'!F$18</f>
        <v>0.46427243514124528</v>
      </c>
      <c r="G12" s="18">
        <f>'Balance Sheet (USD)'!G12/'Balance Sheet (USD)'!G$18</f>
        <v>0.39962634739910402</v>
      </c>
      <c r="H12" s="18">
        <f>'Balance Sheet (USD)'!H12/'Balance Sheet (USD)'!H$18</f>
        <v>0.34589627104854809</v>
      </c>
    </row>
    <row r="13" spans="2:8" x14ac:dyDescent="0.2">
      <c r="B13" s="11" t="s">
        <v>28</v>
      </c>
      <c r="C13" s="13">
        <f>'Balance Sheet (USD)'!C13/'Balance Sheet (USD)'!C$18</f>
        <v>0.33648307452936432</v>
      </c>
      <c r="D13" s="13">
        <f>'Balance Sheet (USD)'!D13/'Balance Sheet (USD)'!D$18</f>
        <v>0.35350105468950971</v>
      </c>
      <c r="E13" s="13">
        <f>'Balance Sheet (USD)'!E13/'Balance Sheet (USD)'!E$18</f>
        <v>0.35207732585687967</v>
      </c>
      <c r="F13" s="13">
        <f>'Balance Sheet (USD)'!F13/'Balance Sheet (USD)'!F$18</f>
        <v>0.33697602309141894</v>
      </c>
      <c r="G13" s="13">
        <f>'Balance Sheet (USD)'!G13/'Balance Sheet (USD)'!G$18</f>
        <v>0.38270509544058462</v>
      </c>
      <c r="H13" s="13">
        <f>'Balance Sheet (USD)'!H13/'Balance Sheet (USD)'!H$18</f>
        <v>0.41921865080100162</v>
      </c>
    </row>
    <row r="14" spans="2:8" x14ac:dyDescent="0.2">
      <c r="B14" s="11" t="s">
        <v>29</v>
      </c>
      <c r="C14" s="13">
        <f>'Balance Sheet (USD)'!C14/'Balance Sheet (USD)'!C$18</f>
        <v>0.12266952385499488</v>
      </c>
      <c r="D14" s="13">
        <f>'Balance Sheet (USD)'!D14/'Balance Sheet (USD)'!D$18</f>
        <v>0.11711733763594978</v>
      </c>
      <c r="E14" s="13">
        <f>'Balance Sheet (USD)'!E14/'Balance Sheet (USD)'!E$18</f>
        <v>0.12366412406392729</v>
      </c>
      <c r="F14" s="13">
        <f>'Balance Sheet (USD)'!F14/'Balance Sheet (USD)'!F$18</f>
        <v>0.10761778654473887</v>
      </c>
      <c r="G14" s="13">
        <f>'Balance Sheet (USD)'!G14/'Balance Sheet (USD)'!G$18</f>
        <v>0.14102317855472382</v>
      </c>
      <c r="H14" s="13">
        <f>'Balance Sheet (USD)'!H14/'Balance Sheet (USD)'!H$18</f>
        <v>0.12803227919618604</v>
      </c>
    </row>
    <row r="15" spans="2:8" x14ac:dyDescent="0.2">
      <c r="B15" s="11" t="s">
        <v>30</v>
      </c>
      <c r="C15" s="13">
        <f>'Balance Sheet (USD)'!C15/'Balance Sheet (USD)'!C$18</f>
        <v>2.8805925576422767E-2</v>
      </c>
      <c r="D15" s="13">
        <f>'Balance Sheet (USD)'!D15/'Balance Sheet (USD)'!D$18</f>
        <v>2.5364449790229317E-2</v>
      </c>
      <c r="E15" s="13">
        <f>'Balance Sheet (USD)'!E15/'Balance Sheet (USD)'!E$18</f>
        <v>4.5156734013496569E-2</v>
      </c>
      <c r="F15" s="13">
        <f>'Balance Sheet (USD)'!F15/'Balance Sheet (USD)'!F$18</f>
        <v>3.6443198752848349E-2</v>
      </c>
      <c r="G15" s="13">
        <f>'Balance Sheet (USD)'!G15/'Balance Sheet (USD)'!G$18</f>
        <v>5.2436033555817579E-2</v>
      </c>
      <c r="H15" s="13">
        <f>'Balance Sheet (USD)'!H15/'Balance Sheet (USD)'!H$18</f>
        <v>7.0972804844573856E-2</v>
      </c>
    </row>
    <row r="16" spans="2:8" x14ac:dyDescent="0.2">
      <c r="B16" s="11" t="s">
        <v>31</v>
      </c>
      <c r="C16" s="13">
        <f>'Balance Sheet (USD)'!C16/'Balance Sheet (USD)'!C$18</f>
        <v>3.7730426340804903E-2</v>
      </c>
      <c r="D16" s="13">
        <f>'Balance Sheet (USD)'!D16/'Balance Sheet (USD)'!D$18</f>
        <v>3.1440558324771842E-2</v>
      </c>
      <c r="E16" s="13">
        <f>'Balance Sheet (USD)'!E16/'Balance Sheet (USD)'!E$18</f>
        <v>2.6179645619967364E-3</v>
      </c>
      <c r="F16" s="13">
        <f>'Balance Sheet (USD)'!F16/'Balance Sheet (USD)'!F$18</f>
        <v>0</v>
      </c>
      <c r="G16" s="13">
        <f>'Balance Sheet (USD)'!G16/'Balance Sheet (USD)'!G$18</f>
        <v>2.4209345049769956E-2</v>
      </c>
      <c r="H16" s="13">
        <f>'Balance Sheet (USD)'!H16/'Balance Sheet (USD)'!H$18</f>
        <v>2.9070960829628033E-2</v>
      </c>
    </row>
    <row r="17" spans="2:8" x14ac:dyDescent="0.2">
      <c r="B17" s="11" t="s">
        <v>25</v>
      </c>
      <c r="C17" s="15">
        <f>'Balance Sheet (USD)'!C17/'Balance Sheet (USD)'!C$18</f>
        <v>5.0054625471478206E-3</v>
      </c>
      <c r="D17" s="13">
        <f>'Balance Sheet (USD)'!D17/'Balance Sheet (USD)'!D$18</f>
        <v>8.7357800498118962E-3</v>
      </c>
      <c r="E17" s="15">
        <f>'Balance Sheet (USD)'!E17/'Balance Sheet (USD)'!E$18</f>
        <v>3.199246073316047E-2</v>
      </c>
      <c r="F17" s="13">
        <f>'Balance Sheet (USD)'!F17/'Balance Sheet (USD)'!F$18</f>
        <v>5.4690556469748512E-2</v>
      </c>
      <c r="G17" s="15">
        <f>'Balance Sheet (USD)'!G17/'Balance Sheet (USD)'!G$18</f>
        <v>0</v>
      </c>
      <c r="H17" s="13">
        <f>'Balance Sheet (USD)'!H17/'Balance Sheet (USD)'!H$18</f>
        <v>6.8090332800623309E-3</v>
      </c>
    </row>
    <row r="18" spans="2:8" x14ac:dyDescent="0.2">
      <c r="B18" s="8" t="s">
        <v>32</v>
      </c>
      <c r="C18" s="20">
        <f>'Balance Sheet (USD)'!C18/'Balance Sheet (USD)'!C$18</f>
        <v>1</v>
      </c>
      <c r="D18" s="20">
        <f>'Balance Sheet (USD)'!D18/'Balance Sheet (USD)'!D$18</f>
        <v>1</v>
      </c>
      <c r="E18" s="20">
        <f>'Balance Sheet (USD)'!E18/'Balance Sheet (USD)'!E$18</f>
        <v>1</v>
      </c>
      <c r="F18" s="20">
        <f>'Balance Sheet (USD)'!F18/'Balance Sheet (USD)'!F$18</f>
        <v>1</v>
      </c>
      <c r="G18" s="20">
        <f>'Balance Sheet (USD)'!G18/'Balance Sheet (USD)'!G$18</f>
        <v>1</v>
      </c>
      <c r="H18" s="20">
        <f>'Balance Sheet (USD)'!H18/'Balance Sheet (USD)'!H$18</f>
        <v>1</v>
      </c>
    </row>
    <row r="19" spans="2:8" x14ac:dyDescent="0.2">
      <c r="B19" s="21"/>
      <c r="C19" s="22"/>
      <c r="D19" s="22"/>
      <c r="E19" s="22"/>
      <c r="F19" s="22"/>
      <c r="G19" s="22" t="s">
        <v>1</v>
      </c>
      <c r="H19" s="22" t="s">
        <v>1</v>
      </c>
    </row>
    <row r="20" spans="2:8" x14ac:dyDescent="0.2">
      <c r="B20" s="8" t="s">
        <v>33</v>
      </c>
      <c r="C20" s="27" t="s">
        <v>20</v>
      </c>
      <c r="D20" s="27" t="s">
        <v>20</v>
      </c>
      <c r="E20" s="27" t="s">
        <v>20</v>
      </c>
      <c r="F20" s="27" t="s">
        <v>20</v>
      </c>
      <c r="G20" s="27" t="s">
        <v>20</v>
      </c>
      <c r="H20" s="27" t="s">
        <v>20</v>
      </c>
    </row>
    <row r="21" spans="2:8" x14ac:dyDescent="0.2">
      <c r="B21" s="11" t="s">
        <v>34</v>
      </c>
      <c r="C21" s="13">
        <f>'Balance Sheet (USD)'!C21/'Balance Sheet (USD)'!C$18</f>
        <v>9.6110638345676722E-2</v>
      </c>
      <c r="D21" s="13">
        <f>'Balance Sheet (USD)'!D21/'Balance Sheet (USD)'!D$18</f>
        <v>9.5194482388487017E-2</v>
      </c>
      <c r="E21" s="13">
        <f>'Balance Sheet (USD)'!E21/'Balance Sheet (USD)'!E$18</f>
        <v>9.2953094731493532E-2</v>
      </c>
      <c r="F21" s="13">
        <f>'Balance Sheet (USD)'!F21/'Balance Sheet (USD)'!F$18</f>
        <v>8.6143730046618863E-2</v>
      </c>
      <c r="G21" s="13">
        <f>'Balance Sheet (USD)'!G21/'Balance Sheet (USD)'!G$18</f>
        <v>8.5724372073336219E-2</v>
      </c>
      <c r="H21" s="13">
        <f>'Balance Sheet (USD)'!H21/'Balance Sheet (USD)'!H$18</f>
        <v>8.87412194999187E-2</v>
      </c>
    </row>
    <row r="22" spans="2:8" x14ac:dyDescent="0.2">
      <c r="B22" s="11" t="s">
        <v>35</v>
      </c>
      <c r="C22" s="13">
        <f>'Balance Sheet (USD)'!C22/'Balance Sheet (USD)'!C$18</f>
        <v>0.13885916551751901</v>
      </c>
      <c r="D22" s="13">
        <f>'Balance Sheet (USD)'!D22/'Balance Sheet (USD)'!D$18</f>
        <v>0.13874850159750274</v>
      </c>
      <c r="E22" s="13">
        <f>'Balance Sheet (USD)'!E22/'Balance Sheet (USD)'!E$18</f>
        <v>0.1368933837717744</v>
      </c>
      <c r="F22" s="13">
        <f>'Balance Sheet (USD)'!F22/'Balance Sheet (USD)'!F$18</f>
        <v>0.13060635880099031</v>
      </c>
      <c r="G22" s="13">
        <f>'Balance Sheet (USD)'!G22/'Balance Sheet (USD)'!G$18</f>
        <v>0.14467931856863131</v>
      </c>
      <c r="H22" s="13">
        <f>'Balance Sheet (USD)'!H22/'Balance Sheet (USD)'!H$18</f>
        <v>0.16034945927219499</v>
      </c>
    </row>
    <row r="23" spans="2:8" x14ac:dyDescent="0.2">
      <c r="B23" s="11" t="s">
        <v>36</v>
      </c>
      <c r="C23" s="13">
        <f>'Balance Sheet (USD)'!C23/'Balance Sheet (USD)'!C$18</f>
        <v>2.2004656505486418E-3</v>
      </c>
      <c r="D23" s="13">
        <f>'Balance Sheet (USD)'!D23/'Balance Sheet (USD)'!D$18</f>
        <v>4.3039763165713969E-4</v>
      </c>
      <c r="E23" s="13">
        <f>'Balance Sheet (USD)'!E23/'Balance Sheet (USD)'!E$18</f>
        <v>4.8981679505867603E-4</v>
      </c>
      <c r="F23" s="13">
        <f>'Balance Sheet (USD)'!F23/'Balance Sheet (USD)'!F$18</f>
        <v>1.4915759027365064E-2</v>
      </c>
      <c r="G23" s="13">
        <f>'Balance Sheet (USD)'!G23/'Balance Sheet (USD)'!G$18</f>
        <v>8.2093308221602135E-4</v>
      </c>
      <c r="H23" s="13">
        <f>'Balance Sheet (USD)'!H23/'Balance Sheet (USD)'!H$18</f>
        <v>4.3490618446960366E-3</v>
      </c>
    </row>
    <row r="24" spans="2:8" x14ac:dyDescent="0.2">
      <c r="B24" s="11" t="s">
        <v>37</v>
      </c>
      <c r="C24" s="13">
        <f>'Balance Sheet (USD)'!C24/'Balance Sheet (USD)'!C$18</f>
        <v>5.637610783919984E-3</v>
      </c>
      <c r="D24" s="13">
        <f>'Balance Sheet (USD)'!D24/'Balance Sheet (USD)'!D$18</f>
        <v>9.53719449190755E-3</v>
      </c>
      <c r="E24" s="13">
        <f>'Balance Sheet (USD)'!E24/'Balance Sheet (USD)'!E$18</f>
        <v>2.4851314629159894E-2</v>
      </c>
      <c r="F24" s="13">
        <f>'Balance Sheet (USD)'!F24/'Balance Sheet (USD)'!F$18</f>
        <v>3.0977390896629167E-2</v>
      </c>
      <c r="G24" s="13">
        <f>'Balance Sheet (USD)'!G24/'Balance Sheet (USD)'!G$18</f>
        <v>6.8416306974907831E-2</v>
      </c>
      <c r="H24" s="13">
        <f>'Balance Sheet (USD)'!H24/'Balance Sheet (USD)'!H$18</f>
        <v>6.8017920163102444E-2</v>
      </c>
    </row>
    <row r="25" spans="2:8" x14ac:dyDescent="0.2">
      <c r="B25" s="11" t="s">
        <v>38</v>
      </c>
      <c r="C25" s="13">
        <f>'Balance Sheet (USD)'!C25/'Balance Sheet (USD)'!C$18</f>
        <v>6.1176783378877962E-2</v>
      </c>
      <c r="D25" s="13">
        <f>'Balance Sheet (USD)'!D25/'Balance Sheet (USD)'!D$18</f>
        <v>2.2118902615226557E-2</v>
      </c>
      <c r="E25" s="13">
        <f>'Balance Sheet (USD)'!E25/'Balance Sheet (USD)'!E$18</f>
        <v>5.4204569281946245E-2</v>
      </c>
      <c r="F25" s="13">
        <f>'Balance Sheet (USD)'!F25/'Balance Sheet (USD)'!F$18</f>
        <v>1.7060234199311319E-4</v>
      </c>
      <c r="G25" s="13">
        <f>'Balance Sheet (USD)'!G25/'Balance Sheet (USD)'!G$18</f>
        <v>4.4604445772354687E-2</v>
      </c>
      <c r="H25" s="13">
        <f>'Balance Sheet (USD)'!H25/'Balance Sheet (USD)'!H$18</f>
        <v>9.3541971543517469E-2</v>
      </c>
    </row>
    <row r="26" spans="2:8" x14ac:dyDescent="0.2">
      <c r="B26" s="16" t="s">
        <v>39</v>
      </c>
      <c r="C26" s="18">
        <f>'Balance Sheet (USD)'!C26/'Balance Sheet (USD)'!C$18</f>
        <v>0.30398466367654231</v>
      </c>
      <c r="D26" s="18">
        <f>'Balance Sheet (USD)'!D26/'Balance Sheet (USD)'!D$18</f>
        <v>0.266029478724781</v>
      </c>
      <c r="E26" s="18">
        <f>'Balance Sheet (USD)'!E26/'Balance Sheet (USD)'!E$18</f>
        <v>0.30939217920943274</v>
      </c>
      <c r="F26" s="18">
        <f>'Balance Sheet (USD)'!F26/'Balance Sheet (USD)'!F$18</f>
        <v>0.26281384111359651</v>
      </c>
      <c r="G26" s="18">
        <f>'Balance Sheet (USD)'!G26/'Balance Sheet (USD)'!G$18</f>
        <v>0.3442453764714461</v>
      </c>
      <c r="H26" s="18">
        <f>'Balance Sheet (USD)'!H26/'Balance Sheet (USD)'!H$18</f>
        <v>0.41499963232342962</v>
      </c>
    </row>
    <row r="27" spans="2:8" x14ac:dyDescent="0.2">
      <c r="B27" s="11" t="s">
        <v>40</v>
      </c>
      <c r="C27" s="13">
        <f>'Balance Sheet (USD)'!C27/'Balance Sheet (USD)'!C$18</f>
        <v>0.36085226033366941</v>
      </c>
      <c r="D27" s="13">
        <f>'Balance Sheet (USD)'!D27/'Balance Sheet (USD)'!D$18</f>
        <v>0.39628765610979921</v>
      </c>
      <c r="E27" s="13">
        <f>'Balance Sheet (USD)'!E27/'Balance Sheet (USD)'!E$18</f>
        <v>0.32198082837294806</v>
      </c>
      <c r="F27" s="13">
        <f>'Balance Sheet (USD)'!F27/'Balance Sheet (USD)'!F$18</f>
        <v>0.33507158578796631</v>
      </c>
      <c r="G27" s="13">
        <f>'Balance Sheet (USD)'!G27/'Balance Sheet (USD)'!G$18</f>
        <v>0.27429355471494093</v>
      </c>
      <c r="H27" s="13">
        <f>'Balance Sheet (USD)'!H27/'Balance Sheet (USD)'!H$18</f>
        <v>0.29135159217052858</v>
      </c>
    </row>
    <row r="28" spans="2:8" x14ac:dyDescent="0.2">
      <c r="B28" s="11" t="s">
        <v>41</v>
      </c>
      <c r="C28" s="13">
        <f>'Balance Sheet (USD)'!C28/'Balance Sheet (USD)'!C$18</f>
        <v>0.11572478685768263</v>
      </c>
      <c r="D28" s="13">
        <f>'Balance Sheet (USD)'!D28/'Balance Sheet (USD)'!D$18</f>
        <v>0.13990212136850583</v>
      </c>
      <c r="E28" s="13">
        <f>'Balance Sheet (USD)'!E28/'Balance Sheet (USD)'!E$18</f>
        <v>0.14064240660935101</v>
      </c>
      <c r="F28" s="13">
        <f>'Balance Sheet (USD)'!F28/'Balance Sheet (USD)'!F$18</f>
        <v>8.1020806766156084E-2</v>
      </c>
      <c r="G28" s="13">
        <f>'Balance Sheet (USD)'!G28/'Balance Sheet (USD)'!G$18</f>
        <v>9.3547067600709244E-2</v>
      </c>
      <c r="H28" s="13">
        <f>'Balance Sheet (USD)'!H28/'Balance Sheet (USD)'!H$18</f>
        <v>8.7703117916027917E-2</v>
      </c>
    </row>
    <row r="29" spans="2:8" x14ac:dyDescent="0.2">
      <c r="B29" s="11" t="s">
        <v>25</v>
      </c>
      <c r="C29" s="13">
        <f>'Balance Sheet (USD)'!C29/'Balance Sheet (USD)'!C$18</f>
        <v>0</v>
      </c>
      <c r="D29" s="13">
        <f>'Balance Sheet (USD)'!D29/'Balance Sheet (USD)'!D$18</f>
        <v>0</v>
      </c>
      <c r="E29" s="13">
        <f>'Balance Sheet (USD)'!E29/'Balance Sheet (USD)'!E$18</f>
        <v>7.4990972354689609E-3</v>
      </c>
      <c r="F29" s="13">
        <f>'Balance Sheet (USD)'!F29/'Balance Sheet (USD)'!F$18</f>
        <v>1.9450160224343947E-2</v>
      </c>
      <c r="G29" s="13">
        <f>'Balance Sheet (USD)'!G29/'Balance Sheet (USD)'!G$18</f>
        <v>1.7673003288356304E-2</v>
      </c>
      <c r="H29" s="13">
        <f>'Balance Sheet (USD)'!H29/'Balance Sheet (USD)'!H$18</f>
        <v>9.9521533965362813E-3</v>
      </c>
    </row>
    <row r="30" spans="2:8" x14ac:dyDescent="0.2">
      <c r="B30" s="8" t="s">
        <v>42</v>
      </c>
      <c r="C30" s="20">
        <f>'Balance Sheet (USD)'!C30/'Balance Sheet (USD)'!C$18</f>
        <v>0.78056171086789439</v>
      </c>
      <c r="D30" s="20">
        <f>'Balance Sheet (USD)'!D30/'Balance Sheet (USD)'!D$18</f>
        <v>0.80221925620308598</v>
      </c>
      <c r="E30" s="20">
        <f>'Balance Sheet (USD)'!E30/'Balance Sheet (USD)'!E$18</f>
        <v>0.77951451142720074</v>
      </c>
      <c r="F30" s="20">
        <f>'Balance Sheet (USD)'!F30/'Balance Sheet (USD)'!F$18</f>
        <v>0.69835639389206283</v>
      </c>
      <c r="G30" s="20">
        <f>'Balance Sheet (USD)'!G30/'Balance Sheet (USD)'!G$18</f>
        <v>0.72975900207545252</v>
      </c>
      <c r="H30" s="20">
        <f>'Balance Sheet (USD)'!H30/'Balance Sheet (USD)'!H$18</f>
        <v>0.80400649580652239</v>
      </c>
    </row>
    <row r="31" spans="2:8" x14ac:dyDescent="0.2">
      <c r="B31" s="23" t="s">
        <v>1</v>
      </c>
      <c r="C31" s="15"/>
      <c r="D31" s="15"/>
      <c r="E31" s="15"/>
      <c r="F31" s="15"/>
      <c r="G31" s="15" t="s">
        <v>1</v>
      </c>
      <c r="H31" s="15" t="s">
        <v>1</v>
      </c>
    </row>
    <row r="32" spans="2:8" x14ac:dyDescent="0.2">
      <c r="B32" s="11" t="s">
        <v>43</v>
      </c>
      <c r="C32" s="13">
        <f>'Balance Sheet (USD)'!C32/'Balance Sheet (USD)'!C$18</f>
        <v>7.0024284228451486E-2</v>
      </c>
      <c r="D32" s="13">
        <f>'Balance Sheet (USD)'!D32/'Balance Sheet (USD)'!D$18</f>
        <v>6.7827629714797541E-2</v>
      </c>
      <c r="E32" s="13">
        <f>'Balance Sheet (USD)'!E32/'Balance Sheet (USD)'!E$18</f>
        <v>6.2940511760755727E-2</v>
      </c>
      <c r="F32" s="13">
        <f>'Balance Sheet (USD)'!F32/'Balance Sheet (USD)'!F$18</f>
        <v>5.5862187652123529E-2</v>
      </c>
      <c r="G32" s="13">
        <f>'Balance Sheet (USD)'!G32/'Balance Sheet (USD)'!G$18</f>
        <v>5.3225665896597288E-2</v>
      </c>
      <c r="H32" s="13">
        <f>'Balance Sheet (USD)'!H32/'Balance Sheet (USD)'!H$18</f>
        <v>5.5999293462224084E-2</v>
      </c>
    </row>
    <row r="33" spans="2:8" x14ac:dyDescent="0.2">
      <c r="B33" s="11" t="s">
        <v>44</v>
      </c>
      <c r="C33" s="13">
        <f>'Balance Sheet (USD)'!C33/'Balance Sheet (USD)'!C$18</f>
        <v>1.4207771514805984E-2</v>
      </c>
      <c r="D33" s="13">
        <f>'Balance Sheet (USD)'!D33/'Balance Sheet (USD)'!D$18</f>
        <v>1.3741900580640174E-2</v>
      </c>
      <c r="E33" s="13">
        <f>'Balance Sheet (USD)'!E33/'Balance Sheet (USD)'!E$18</f>
        <v>1.2751010076261258E-2</v>
      </c>
      <c r="F33" s="13">
        <f>'Balance Sheet (USD)'!F33/'Balance Sheet (USD)'!F$18</f>
        <v>1.1315004345320045E-2</v>
      </c>
      <c r="G33" s="13">
        <f>'Balance Sheet (USD)'!G33/'Balance Sheet (USD)'!G$18</f>
        <v>1.0780971283348184E-2</v>
      </c>
      <c r="H33" s="13">
        <f>'Balance Sheet (USD)'!H33/'Balance Sheet (USD)'!H$18</f>
        <v>1.1342775417350331E-2</v>
      </c>
    </row>
    <row r="34" spans="2:8" x14ac:dyDescent="0.2">
      <c r="B34" s="11" t="s">
        <v>45</v>
      </c>
      <c r="C34" s="13">
        <f>'Balance Sheet (USD)'!C34/'Balance Sheet (USD)'!C$18</f>
        <v>0.10177680228949534</v>
      </c>
      <c r="D34" s="13">
        <f>'Balance Sheet (USD)'!D34/'Balance Sheet (USD)'!D$18</f>
        <v>0.11124090277886378</v>
      </c>
      <c r="E34" s="13">
        <f>'Balance Sheet (USD)'!E34/'Balance Sheet (USD)'!E$18</f>
        <v>0.12470979564187136</v>
      </c>
      <c r="F34" s="13">
        <f>'Balance Sheet (USD)'!F34/'Balance Sheet (USD)'!F$18</f>
        <v>0.12411488369176002</v>
      </c>
      <c r="G34" s="13">
        <f>'Balance Sheet (USD)'!G34/'Balance Sheet (USD)'!G$18</f>
        <v>0.13412830102776696</v>
      </c>
      <c r="H34" s="13">
        <f>'Balance Sheet (USD)'!H34/'Balance Sheet (USD)'!H$18</f>
        <v>0.14667338775695027</v>
      </c>
    </row>
    <row r="35" spans="2:8" x14ac:dyDescent="0.2">
      <c r="B35" s="11" t="s">
        <v>46</v>
      </c>
      <c r="C35" s="13">
        <f>'Balance Sheet (USD)'!C35/'Balance Sheet (USD)'!C$18</f>
        <v>1.0238690374214905</v>
      </c>
      <c r="D35" s="13">
        <f>'Balance Sheet (USD)'!D35/'Balance Sheet (USD)'!D$18</f>
        <v>1.0651371345671399</v>
      </c>
      <c r="E35" s="13">
        <f>'Balance Sheet (USD)'!E35/'Balance Sheet (USD)'!E$18</f>
        <v>1.0573685039598606</v>
      </c>
      <c r="F35" s="13">
        <f>'Balance Sheet (USD)'!F35/'Balance Sheet (USD)'!F$18</f>
        <v>1.0180677959521327</v>
      </c>
      <c r="G35" s="13">
        <f>'Balance Sheet (USD)'!G35/'Balance Sheet (USD)'!G$18</f>
        <v>1.0423118443072665</v>
      </c>
      <c r="H35" s="13">
        <f>'Balance Sheet (USD)'!H35/'Balance Sheet (USD)'!H$18</f>
        <v>1.1035167655838265</v>
      </c>
    </row>
    <row r="36" spans="2:8" x14ac:dyDescent="0.2">
      <c r="B36" s="11" t="s">
        <v>47</v>
      </c>
      <c r="C36" s="13">
        <f>'Balance Sheet (USD)'!C36/'Balance Sheet (USD)'!C$18</f>
        <v>-0.94836301457709027</v>
      </c>
      <c r="D36" s="13">
        <f>'Balance Sheet (USD)'!D36/'Balance Sheet (USD)'!D$18</f>
        <v>-0.96526969885084513</v>
      </c>
      <c r="E36" s="13">
        <f>'Balance Sheet (USD)'!E36/'Balance Sheet (USD)'!E$18</f>
        <v>-0.95874287226129007</v>
      </c>
      <c r="F36" s="13">
        <f>'Balance Sheet (USD)'!F36/'Balance Sheet (USD)'!F$18</f>
        <v>-0.87871965368844507</v>
      </c>
      <c r="G36" s="13">
        <f>'Balance Sheet (USD)'!G36/'Balance Sheet (USD)'!G$18</f>
        <v>-0.91790064504425672</v>
      </c>
      <c r="H36" s="13">
        <f>'Balance Sheet (USD)'!H36/'Balance Sheet (USD)'!H$18</f>
        <v>-1.061370739419101</v>
      </c>
    </row>
    <row r="37" spans="2:8" x14ac:dyDescent="0.2">
      <c r="B37" s="11" t="s">
        <v>48</v>
      </c>
      <c r="C37" s="13">
        <f>'Balance Sheet (USD)'!C37/'Balance Sheet (USD)'!C$18</f>
        <v>-5.0334774097696745E-2</v>
      </c>
      <c r="D37" s="13">
        <f>'Balance Sheet (USD)'!D37/'Balance Sheet (USD)'!D$18</f>
        <v>-0.10025182454372525</v>
      </c>
      <c r="E37" s="13">
        <f>'Balance Sheet (USD)'!E37/'Balance Sheet (USD)'!E$18</f>
        <v>-8.0986128026627191E-2</v>
      </c>
      <c r="F37" s="13">
        <f>'Balance Sheet (USD)'!F37/'Balance Sheet (USD)'!F$18</f>
        <v>-3.1090503609154142E-2</v>
      </c>
      <c r="G37" s="13">
        <f>'Balance Sheet (USD)'!G37/'Balance Sheet (USD)'!G$18</f>
        <v>-6.377045885819875E-2</v>
      </c>
      <c r="H37" s="13">
        <f>'Balance Sheet (USD)'!H37/'Balance Sheet (USD)'!H$18</f>
        <v>-6.9423511204592642E-2</v>
      </c>
    </row>
    <row r="38" spans="2:8" x14ac:dyDescent="0.2">
      <c r="B38" s="16" t="s">
        <v>49</v>
      </c>
      <c r="C38" s="18">
        <f>'Balance Sheet (USD)'!C38/'Balance Sheet (USD)'!C$18</f>
        <v>0.21118010677945634</v>
      </c>
      <c r="D38" s="18">
        <f>'Balance Sheet (USD)'!D38/'Balance Sheet (USD)'!D$18</f>
        <v>0.19242604424687101</v>
      </c>
      <c r="E38" s="18">
        <f>'Balance Sheet (USD)'!E38/'Balance Sheet (USD)'!E$18</f>
        <v>0.21804082115083182</v>
      </c>
      <c r="F38" s="18">
        <f>'Balance Sheet (USD)'!F38/'Balance Sheet (USD)'!F$18</f>
        <v>0.29954971434373723</v>
      </c>
      <c r="G38" s="18">
        <f>'Balance Sheet (USD)'!G38/'Balance Sheet (USD)'!G$18</f>
        <v>0.25877567861252349</v>
      </c>
      <c r="H38" s="18">
        <f>'Balance Sheet (USD)'!H38/'Balance Sheet (USD)'!H$18</f>
        <v>0.1867379715966575</v>
      </c>
    </row>
    <row r="39" spans="2:8" x14ac:dyDescent="0.2">
      <c r="B39" s="11" t="s">
        <v>50</v>
      </c>
      <c r="C39" s="13">
        <f>'Balance Sheet (USD)'!C39/'Balance Sheet (USD)'!C$18</f>
        <v>8.2581823526493119E-3</v>
      </c>
      <c r="D39" s="13">
        <f>'Balance Sheet (USD)'!D39/'Balance Sheet (USD)'!D$18</f>
        <v>5.3546995500429601E-3</v>
      </c>
      <c r="E39" s="13">
        <f>'Balance Sheet (USD)'!E39/'Balance Sheet (USD)'!E$18</f>
        <v>2.4446674219673896E-3</v>
      </c>
      <c r="F39" s="13">
        <f>'Balance Sheet (USD)'!F39/'Balance Sheet (USD)'!F$18</f>
        <v>2.0938917641999386E-3</v>
      </c>
      <c r="G39" s="13">
        <f>'Balance Sheet (USD)'!G39/'Balance Sheet (USD)'!G$18</f>
        <v>1.1465319312023931E-2</v>
      </c>
      <c r="H39" s="13">
        <f>'Balance Sheet (USD)'!H39/'Balance Sheet (USD)'!H$18</f>
        <v>9.2555325968200937E-3</v>
      </c>
    </row>
    <row r="40" spans="2:8" x14ac:dyDescent="0.2">
      <c r="B40" s="8" t="s">
        <v>51</v>
      </c>
      <c r="C40" s="25">
        <f>'Balance Sheet (USD)'!C40/'Balance Sheet (USD)'!C$18</f>
        <v>0.21943828913210564</v>
      </c>
      <c r="D40" s="25">
        <f>'Balance Sheet (USD)'!D40/'Balance Sheet (USD)'!D$18</f>
        <v>0.19778074379691396</v>
      </c>
      <c r="E40" s="25">
        <f>'Balance Sheet (USD)'!E40/'Balance Sheet (USD)'!E$18</f>
        <v>0.2204854885727992</v>
      </c>
      <c r="F40" s="25">
        <f>'Balance Sheet (USD)'!F40/'Balance Sheet (USD)'!F$18</f>
        <v>0.30164360610793717</v>
      </c>
      <c r="G40" s="25">
        <f>'Balance Sheet (USD)'!G40/'Balance Sheet (USD)'!G$18</f>
        <v>0.27024099792454742</v>
      </c>
      <c r="H40" s="25">
        <f>'Balance Sheet (USD)'!H40/'Balance Sheet (USD)'!H$18</f>
        <v>0.19599350419347758</v>
      </c>
    </row>
    <row r="41" spans="2:8" x14ac:dyDescent="0.2">
      <c r="B41" s="8" t="s">
        <v>52</v>
      </c>
      <c r="C41" s="20">
        <f>'Balance Sheet (USD)'!C41/'Balance Sheet (USD)'!C$18</f>
        <v>1</v>
      </c>
      <c r="D41" s="20">
        <f>'Balance Sheet (USD)'!D41/'Balance Sheet (USD)'!D$18</f>
        <v>1</v>
      </c>
      <c r="E41" s="20">
        <f>'Balance Sheet (USD)'!E41/'Balance Sheet (USD)'!E$18</f>
        <v>1</v>
      </c>
      <c r="F41" s="20">
        <f>'Balance Sheet (USD)'!F41/'Balance Sheet (USD)'!F$18</f>
        <v>1</v>
      </c>
      <c r="G41" s="20">
        <f>'Balance Sheet (USD)'!G41/'Balance Sheet (USD)'!G$18</f>
        <v>1</v>
      </c>
      <c r="H41" s="20">
        <f>'Balance Sheet (USD)'!H41/'Balance Sheet (USD)'!H$18</f>
        <v>1</v>
      </c>
    </row>
    <row r="44" spans="2:8" x14ac:dyDescent="0.25">
      <c r="B44" s="74" t="str">
        <f>B2</f>
        <v>Firm X</v>
      </c>
    </row>
    <row r="46" spans="2:8" x14ac:dyDescent="0.2">
      <c r="B46" s="8" t="s">
        <v>17</v>
      </c>
      <c r="C46" s="9">
        <v>2010</v>
      </c>
      <c r="D46" s="9">
        <v>2011</v>
      </c>
      <c r="E46" s="9">
        <v>2012</v>
      </c>
      <c r="F46" s="9">
        <v>2013</v>
      </c>
      <c r="G46" s="9">
        <v>2014</v>
      </c>
      <c r="H46" s="9">
        <v>2015</v>
      </c>
    </row>
    <row r="47" spans="2:8" x14ac:dyDescent="0.2">
      <c r="B47" s="10" t="s">
        <v>18</v>
      </c>
      <c r="C47" s="27" t="s">
        <v>3</v>
      </c>
      <c r="D47" s="27" t="s">
        <v>3</v>
      </c>
      <c r="E47" s="27" t="s">
        <v>3</v>
      </c>
      <c r="F47" s="27" t="s">
        <v>3</v>
      </c>
      <c r="G47" s="27" t="s">
        <v>3</v>
      </c>
      <c r="H47" s="27" t="s">
        <v>3</v>
      </c>
    </row>
    <row r="48" spans="2:8" x14ac:dyDescent="0.2">
      <c r="B48" s="11" t="s">
        <v>21</v>
      </c>
      <c r="C48" s="13">
        <f>'Balance Sheet (USD)'!C6/'Income Statement (USD 1''000)'!C$8</f>
        <v>0.15599375701925355</v>
      </c>
      <c r="D48" s="13">
        <f>'Balance Sheet (USD)'!D6/'Income Statement (USD 1''000)'!D$8</f>
        <v>0.11407830695626948</v>
      </c>
      <c r="E48" s="13">
        <f>'Balance Sheet (USD)'!E6/'Income Statement (USD 1''000)'!E$8</f>
        <v>0.10960932848422968</v>
      </c>
      <c r="F48" s="13">
        <f>'Balance Sheet (USD)'!F6/'Income Statement (USD 1''000)'!F$8</f>
        <v>0.1565205198543145</v>
      </c>
      <c r="G48" s="13">
        <f>'Balance Sheet (USD)'!G6/'Income Statement (USD 1''000)'!G$8</f>
        <v>5.050737236733889E-2</v>
      </c>
      <c r="H48" s="13">
        <f>'Balance Sheet (USD)'!H6/'Income Statement (USD 1''000)'!H$8</f>
        <v>4.6913029033824105E-2</v>
      </c>
    </row>
    <row r="49" spans="2:8" x14ac:dyDescent="0.2">
      <c r="B49" s="11" t="s">
        <v>22</v>
      </c>
      <c r="C49" s="13">
        <f>'Balance Sheet (USD)'!C7/'Income Statement (USD 1''000)'!C$8</f>
        <v>0</v>
      </c>
      <c r="D49" s="15">
        <f>'Balance Sheet (USD)'!D7/'Income Statement (USD 1''000)'!D$8</f>
        <v>0</v>
      </c>
      <c r="E49" s="13">
        <f>'Balance Sheet (USD)'!E7/'Income Statement (USD 1''000)'!E$8</f>
        <v>0</v>
      </c>
      <c r="F49" s="15">
        <f>'Balance Sheet (USD)'!F7/'Income Statement (USD 1''000)'!F$8</f>
        <v>0</v>
      </c>
      <c r="G49" s="13">
        <f>'Balance Sheet (USD)'!G7/'Income Statement (USD 1''000)'!G$8</f>
        <v>1.3087312888249807E-2</v>
      </c>
      <c r="H49" s="15">
        <f>'Balance Sheet (USD)'!H7/'Income Statement (USD 1''000)'!H$8</f>
        <v>0</v>
      </c>
    </row>
    <row r="50" spans="2:8" x14ac:dyDescent="0.2">
      <c r="B50" s="11" t="s">
        <v>23</v>
      </c>
      <c r="C50" s="13">
        <f>'Balance Sheet (USD)'!C8/'Income Statement (USD 1''000)'!C$8</f>
        <v>6.8781587191979424E-2</v>
      </c>
      <c r="D50" s="13">
        <f>'Balance Sheet (USD)'!D8/'Income Statement (USD 1''000)'!D$8</f>
        <v>6.5698557489588527E-2</v>
      </c>
      <c r="E50" s="13">
        <f>'Balance Sheet (USD)'!E8/'Income Statement (USD 1''000)'!E$8</f>
        <v>6.9440924275599419E-2</v>
      </c>
      <c r="F50" s="13">
        <f>'Balance Sheet (USD)'!F8/'Income Statement (USD 1''000)'!F$8</f>
        <v>6.6877514228432119E-2</v>
      </c>
      <c r="G50" s="13">
        <f>'Balance Sheet (USD)'!G8/'Income Statement (USD 1''000)'!G$8</f>
        <v>8.0430970086911899E-2</v>
      </c>
      <c r="H50" s="13">
        <f>'Balance Sheet (USD)'!H8/'Income Statement (USD 1''000)'!H$8</f>
        <v>8.110238693552374E-2</v>
      </c>
    </row>
    <row r="51" spans="2:8" x14ac:dyDescent="0.25">
      <c r="B51" s="11" t="s">
        <v>24</v>
      </c>
      <c r="C51" s="13">
        <f>'Balance Sheet (USD)'!C9/'Income Statement (USD 1''000)'!C$8</f>
        <v>9.4096482654144969E-2</v>
      </c>
      <c r="D51" s="13">
        <f>'Balance Sheet (USD)'!D9/'Income Statement (USD 1''000)'!D$8</f>
        <v>0.10672185907484359</v>
      </c>
      <c r="E51" s="13">
        <f>'Balance Sheet (USD)'!E9/'Income Statement (USD 1''000)'!E$8</f>
        <v>9.5309750442939253E-2</v>
      </c>
      <c r="F51" s="13">
        <f>'Balance Sheet (USD)'!F9/'Income Statement (USD 1''000)'!F$8</f>
        <v>9.2294109818825118E-2</v>
      </c>
      <c r="G51" s="13">
        <f>'Balance Sheet (USD)'!G9/'Income Statement (USD 1''000)'!G$8</f>
        <v>0.10793061707129623</v>
      </c>
      <c r="H51" s="13">
        <f>'Balance Sheet (USD)'!H9/'Income Statement (USD 1''000)'!H$8</f>
        <v>0.10166617343290428</v>
      </c>
    </row>
    <row r="52" spans="2:8" x14ac:dyDescent="0.25">
      <c r="B52" s="11" t="s">
        <v>25</v>
      </c>
      <c r="C52" s="13">
        <f>'Balance Sheet (USD)'!C10/'Income Statement (USD 1''000)'!C$8</f>
        <v>9.8324654395716884E-3</v>
      </c>
      <c r="D52" s="15">
        <f>'Balance Sheet (USD)'!D10/'Income Statement (USD 1''000)'!D$8</f>
        <v>2.2507115854063651E-2</v>
      </c>
      <c r="E52" s="13">
        <f>'Balance Sheet (USD)'!E10/'Income Statement (USD 1''000)'!E$8</f>
        <v>1.839544917923041E-2</v>
      </c>
      <c r="F52" s="15">
        <f>'Balance Sheet (USD)'!F10/'Income Statement (USD 1''000)'!F$8</f>
        <v>7.348225509401729E-3</v>
      </c>
      <c r="G52" s="13">
        <f>'Balance Sheet (USD)'!G10/'Income Statement (USD 1''000)'!G$8</f>
        <v>1.3543268935380357E-2</v>
      </c>
      <c r="H52" s="15">
        <f>'Balance Sheet (USD)'!H10/'Income Statement (USD 1''000)'!H$8</f>
        <v>0</v>
      </c>
    </row>
    <row r="53" spans="2:8" x14ac:dyDescent="0.25">
      <c r="B53" s="11" t="s">
        <v>26</v>
      </c>
      <c r="C53" s="13">
        <f>'Balance Sheet (USD)'!C11/'Income Statement (USD 1''000)'!C$8</f>
        <v>2.4886576621550062E-2</v>
      </c>
      <c r="D53" s="13">
        <f>'Balance Sheet (USD)'!D11/'Income Statement (USD 1''000)'!D$8</f>
        <v>2.7555474718079301E-2</v>
      </c>
      <c r="E53" s="13">
        <f>'Balance Sheet (USD)'!E11/'Income Statement (USD 1''000)'!E$8</f>
        <v>2.5336787346416121E-2</v>
      </c>
      <c r="F53" s="13">
        <f>'Balance Sheet (USD)'!F11/'Income Statement (USD 1''000)'!F$8</f>
        <v>2.5029390243236884E-2</v>
      </c>
      <c r="G53" s="13">
        <f>'Balance Sheet (USD)'!G11/'Income Statement (USD 1''000)'!G$8</f>
        <v>3.7264840399214849E-2</v>
      </c>
      <c r="H53" s="13">
        <f>'Balance Sheet (USD)'!H11/'Income Statement (USD 1''000)'!H$8</f>
        <v>2.0581250492444046E-2</v>
      </c>
    </row>
    <row r="54" spans="2:8" x14ac:dyDescent="0.25">
      <c r="B54" s="16" t="s">
        <v>27</v>
      </c>
      <c r="C54" s="18">
        <f>'Balance Sheet (USD)'!C12/'Income Statement (USD 1''000)'!C$8</f>
        <v>0.35359086892649966</v>
      </c>
      <c r="D54" s="18">
        <f>'Balance Sheet (USD)'!D12/'Income Statement (USD 1''000)'!D$8</f>
        <v>0.33656131409284457</v>
      </c>
      <c r="E54" s="18">
        <f>'Balance Sheet (USD)'!E12/'Income Statement (USD 1''000)'!E$8</f>
        <v>0.31809223972841488</v>
      </c>
      <c r="F54" s="18">
        <f>'Balance Sheet (USD)'!F12/'Income Statement (USD 1''000)'!F$8</f>
        <v>0.34806975965421039</v>
      </c>
      <c r="G54" s="18">
        <f>'Balance Sheet (USD)'!G12/'Income Statement (USD 1''000)'!G$8</f>
        <v>0.30276438174839204</v>
      </c>
      <c r="H54" s="18">
        <f>'Balance Sheet (USD)'!H12/'Income Statement (USD 1''000)'!H$8</f>
        <v>0.25026283989469617</v>
      </c>
    </row>
    <row r="55" spans="2:8" x14ac:dyDescent="0.25">
      <c r="B55" s="11" t="s">
        <v>28</v>
      </c>
      <c r="C55" s="13">
        <f>'Balance Sheet (USD)'!C13/'Income Statement (USD 1''000)'!C$8</f>
        <v>0.25351784841110286</v>
      </c>
      <c r="D55" s="13">
        <f>'Balance Sheet (USD)'!D13/'Income Statement (USD 1''000)'!D$8</f>
        <v>0.25649915767495923</v>
      </c>
      <c r="E55" s="13">
        <f>'Balance Sheet (USD)'!E13/'Income Statement (USD 1''000)'!E$8</f>
        <v>0.25195778245617417</v>
      </c>
      <c r="F55" s="13">
        <f>'Balance Sheet (USD)'!F13/'Income Statement (USD 1''000)'!F$8</f>
        <v>0.25263434675155422</v>
      </c>
      <c r="G55" s="13">
        <f>'Balance Sheet (USD)'!G13/'Income Statement (USD 1''000)'!G$8</f>
        <v>0.28994452534759912</v>
      </c>
      <c r="H55" s="13">
        <f>'Balance Sheet (USD)'!H13/'Income Statement (USD 1''000)'!H$8</f>
        <v>0.30331304170537399</v>
      </c>
    </row>
    <row r="56" spans="2:8" x14ac:dyDescent="0.25">
      <c r="B56" s="11" t="s">
        <v>29</v>
      </c>
      <c r="C56" s="13">
        <f>'Balance Sheet (USD)'!C14/'Income Statement (USD 1''000)'!C$8</f>
        <v>9.2423411777339801E-2</v>
      </c>
      <c r="D56" s="13">
        <f>'Balance Sheet (USD)'!D14/'Income Statement (USD 1''000)'!D$8</f>
        <v>8.4979940099868631E-2</v>
      </c>
      <c r="E56" s="13">
        <f>'Balance Sheet (USD)'!E14/'Income Statement (USD 1''000)'!E$8</f>
        <v>8.84979979687706E-2</v>
      </c>
      <c r="F56" s="13">
        <f>'Balance Sheet (USD)'!F14/'Income Statement (USD 1''000)'!F$8</f>
        <v>8.0682147510543895E-2</v>
      </c>
      <c r="G56" s="13">
        <f>'Balance Sheet (USD)'!G14/'Income Statement (USD 1''000)'!G$8</f>
        <v>0.10684179295283819</v>
      </c>
      <c r="H56" s="13">
        <f>'Balance Sheet (USD)'!H14/'Income Statement (USD 1''000)'!H$8</f>
        <v>9.2633903489901886E-2</v>
      </c>
    </row>
    <row r="57" spans="2:8" x14ac:dyDescent="0.25">
      <c r="B57" s="11" t="s">
        <v>30</v>
      </c>
      <c r="C57" s="13">
        <f>'Balance Sheet (USD)'!C15/'Income Statement (USD 1''000)'!C$8</f>
        <v>2.1703368836127751E-2</v>
      </c>
      <c r="D57" s="13">
        <f>'Balance Sheet (USD)'!D15/'Income Statement (USD 1''000)'!D$8</f>
        <v>1.8404358119375318E-2</v>
      </c>
      <c r="E57" s="13">
        <f>'Balance Sheet (USD)'!E15/'Income Statement (USD 1''000)'!E$8</f>
        <v>3.2315601515415127E-2</v>
      </c>
      <c r="F57" s="13">
        <f>'Balance Sheet (USD)'!F15/'Income Statement (USD 1''000)'!F$8</f>
        <v>2.7321836212557963E-2</v>
      </c>
      <c r="G57" s="13">
        <f>'Balance Sheet (USD)'!G15/'Income Statement (USD 1''000)'!G$8</f>
        <v>3.9726517994095205E-2</v>
      </c>
      <c r="H57" s="13">
        <f>'Balance Sheet (USD)'!H15/'Income Statement (USD 1''000)'!H$8</f>
        <v>5.1350237578022769E-2</v>
      </c>
    </row>
    <row r="58" spans="2:8" x14ac:dyDescent="0.25">
      <c r="B58" s="11" t="s">
        <v>31</v>
      </c>
      <c r="C58" s="13">
        <f>'Balance Sheet (USD)'!C16/'Income Statement (USD 1''000)'!C$8</f>
        <v>2.8427392726761674E-2</v>
      </c>
      <c r="D58" s="13">
        <f>'Balance Sheet (USD)'!D16/'Income Statement (USD 1''000)'!D$8</f>
        <v>2.2813161715225065E-2</v>
      </c>
      <c r="E58" s="13">
        <f>'Balance Sheet (USD)'!E16/'Income Statement (USD 1''000)'!E$8</f>
        <v>1.8734990786020758E-3</v>
      </c>
      <c r="F58" s="13">
        <f>'Balance Sheet (USD)'!F16/'Income Statement (USD 1''000)'!F$8</f>
        <v>0</v>
      </c>
      <c r="G58" s="13">
        <f>'Balance Sheet (USD)'!G16/'Income Statement (USD 1''000)'!G$8</f>
        <v>1.8341451794235551E-2</v>
      </c>
      <c r="H58" s="13">
        <f>'Balance Sheet (USD)'!H16/'Income Statement (USD 1''000)'!H$8</f>
        <v>2.1033419046801612E-2</v>
      </c>
    </row>
    <row r="59" spans="2:8" x14ac:dyDescent="0.25">
      <c r="B59" s="11" t="s">
        <v>25</v>
      </c>
      <c r="C59" s="15">
        <f>'Balance Sheet (USD)'!C17/'Income Statement (USD 1''000)'!C$8</f>
        <v>3.7712865558844995E-3</v>
      </c>
      <c r="D59" s="13">
        <f>'Balance Sheet (USD)'!D17/'Income Statement (USD 1''000)'!D$8</f>
        <v>6.3386521615290646E-3</v>
      </c>
      <c r="E59" s="15">
        <f>'Balance Sheet (USD)'!E17/'Income Statement (USD 1''000)'!E$8</f>
        <v>2.2894826987296689E-2</v>
      </c>
      <c r="F59" s="13">
        <f>'Balance Sheet (USD)'!F17/'Income Statement (USD 1''000)'!F$8</f>
        <v>4.1002065608286724E-2</v>
      </c>
      <c r="G59" s="15">
        <f>'Balance Sheet (USD)'!G17/'Income Statement (USD 1''000)'!G$8</f>
        <v>0</v>
      </c>
      <c r="H59" s="13">
        <f>'Balance Sheet (USD)'!H17/'Income Statement (USD 1''000)'!H$8</f>
        <v>4.9264711655903522E-3</v>
      </c>
    </row>
    <row r="60" spans="2:8" x14ac:dyDescent="0.25">
      <c r="B60" s="8" t="s">
        <v>32</v>
      </c>
      <c r="C60" s="20">
        <f>'Balance Sheet (USD)'!C18/'Income Statement (USD 1''000)'!C$8</f>
        <v>0.75343417723371631</v>
      </c>
      <c r="D60" s="20">
        <f>'Balance Sheet (USD)'!D18/'Income Statement (USD 1''000)'!D$8</f>
        <v>0.72559658386380188</v>
      </c>
      <c r="E60" s="20">
        <f>'Balance Sheet (USD)'!E18/'Income Statement (USD 1''000)'!E$8</f>
        <v>0.71563194773467353</v>
      </c>
      <c r="F60" s="20">
        <f>'Balance Sheet (USD)'!F18/'Income Statement (USD 1''000)'!F$8</f>
        <v>0.74971015573715316</v>
      </c>
      <c r="G60" s="20">
        <f>'Balance Sheet (USD)'!G18/'Income Statement (USD 1''000)'!G$8</f>
        <v>0.75761866983716009</v>
      </c>
      <c r="H60" s="20">
        <f>'Balance Sheet (USD)'!H18/'Income Statement (USD 1''000)'!H$8</f>
        <v>0.72351991288038675</v>
      </c>
    </row>
    <row r="61" spans="2:8" x14ac:dyDescent="0.25">
      <c r="B61" s="21"/>
      <c r="C61" s="22"/>
      <c r="D61" s="22"/>
      <c r="E61" s="22"/>
      <c r="F61" s="22"/>
      <c r="G61" s="22" t="s">
        <v>1</v>
      </c>
      <c r="H61" s="22" t="s">
        <v>1</v>
      </c>
    </row>
    <row r="62" spans="2:8" x14ac:dyDescent="0.25">
      <c r="B62" s="8" t="s">
        <v>33</v>
      </c>
      <c r="C62" s="27" t="s">
        <v>3</v>
      </c>
      <c r="D62" s="27" t="s">
        <v>3</v>
      </c>
      <c r="E62" s="27" t="s">
        <v>3</v>
      </c>
      <c r="F62" s="27" t="s">
        <v>3</v>
      </c>
      <c r="G62" s="27" t="s">
        <v>3</v>
      </c>
      <c r="H62" s="27" t="s">
        <v>3</v>
      </c>
    </row>
    <row r="63" spans="2:8" x14ac:dyDescent="0.25">
      <c r="B63" s="11" t="s">
        <v>34</v>
      </c>
      <c r="C63" s="13">
        <f>'Balance Sheet (USD)'!C21/'Income Statement (USD 1''000)'!C$8</f>
        <v>7.2413039725382197E-2</v>
      </c>
      <c r="D63" s="13">
        <f>'Balance Sheet (USD)'!D21/'Income Statement (USD 1''000)'!D$8</f>
        <v>6.9072791223769026E-2</v>
      </c>
      <c r="E63" s="13">
        <f>'Balance Sheet (USD)'!E21/'Income Statement (USD 1''000)'!E$8</f>
        <v>6.6520204230664334E-2</v>
      </c>
      <c r="F63" s="13">
        <f>'Balance Sheet (USD)'!F21/'Income Statement (USD 1''000)'!F$8</f>
        <v>6.4582829269029918E-2</v>
      </c>
      <c r="G63" s="13">
        <f>'Balance Sheet (USD)'!G21/'Income Statement (USD 1''000)'!G$8</f>
        <v>6.4946384742826782E-2</v>
      </c>
      <c r="H63" s="13">
        <f>'Balance Sheet (USD)'!H21/'Income Statement (USD 1''000)'!H$8</f>
        <v>6.4206039401480453E-2</v>
      </c>
    </row>
    <row r="64" spans="2:8" x14ac:dyDescent="0.25">
      <c r="B64" s="11" t="s">
        <v>35</v>
      </c>
      <c r="C64" s="13">
        <f>'Balance Sheet (USD)'!C22/'Income Statement (USD 1''000)'!C$8</f>
        <v>0.10462124112305235</v>
      </c>
      <c r="D64" s="13">
        <f>'Balance Sheet (USD)'!D22/'Income Statement (USD 1''000)'!D$8</f>
        <v>0.10067543877536925</v>
      </c>
      <c r="E64" s="13">
        <f>'Balance Sheet (USD)'!E22/'Income Statement (USD 1''000)'!E$8</f>
        <v>9.7965278860585064E-2</v>
      </c>
      <c r="F64" s="13">
        <f>'Balance Sheet (USD)'!F22/'Income Statement (USD 1''000)'!F$8</f>
        <v>9.7916913596952954E-2</v>
      </c>
      <c r="G64" s="13">
        <f>'Balance Sheet (USD)'!G22/'Income Statement (USD 1''000)'!G$8</f>
        <v>0.1096117528869132</v>
      </c>
      <c r="H64" s="13">
        <f>'Balance Sheet (USD)'!H22/'Income Statement (USD 1''000)'!H$8</f>
        <v>0.11601602680303565</v>
      </c>
    </row>
    <row r="65" spans="2:8" x14ac:dyDescent="0.25">
      <c r="B65" s="11" t="s">
        <v>36</v>
      </c>
      <c r="C65" s="13">
        <f>'Balance Sheet (USD)'!C23/'Income Statement (USD 1''000)'!C$8</f>
        <v>1.6579060269521703E-3</v>
      </c>
      <c r="D65" s="13">
        <f>'Balance Sheet (USD)'!D23/'Income Statement (USD 1''000)'!D$8</f>
        <v>3.1229505123349144E-4</v>
      </c>
      <c r="E65" s="13">
        <f>'Balance Sheet (USD)'!E23/'Income Statement (USD 1''000)'!E$8</f>
        <v>3.505285470809957E-4</v>
      </c>
      <c r="F65" s="13">
        <f>'Balance Sheet (USD)'!F23/'Income Statement (USD 1''000)'!F$8</f>
        <v>1.1182496023343711E-2</v>
      </c>
      <c r="G65" s="13">
        <f>'Balance Sheet (USD)'!G23/'Income Statement (USD 1''000)'!G$8</f>
        <v>6.2195422977382212E-4</v>
      </c>
      <c r="H65" s="13">
        <f>'Balance Sheet (USD)'!H23/'Income Statement (USD 1''000)'!H$8</f>
        <v>3.1466328469858906E-3</v>
      </c>
    </row>
    <row r="66" spans="2:8" x14ac:dyDescent="0.25">
      <c r="B66" s="11" t="s">
        <v>37</v>
      </c>
      <c r="C66" s="13">
        <f>'Balance Sheet (USD)'!C24/'Income Statement (USD 1''000)'!C$8</f>
        <v>4.2475686425466792E-3</v>
      </c>
      <c r="D66" s="13">
        <f>'Balance Sheet (USD)'!D24/'Income Statement (USD 1''000)'!D$8</f>
        <v>6.9201557429727856E-3</v>
      </c>
      <c r="E66" s="13">
        <f>'Balance Sheet (USD)'!E24/'Income Statement (USD 1''000)'!E$8</f>
        <v>1.7784394691832881E-2</v>
      </c>
      <c r="F66" s="13">
        <f>'Balance Sheet (USD)'!F24/'Income Statement (USD 1''000)'!F$8</f>
        <v>2.3224064553442524E-2</v>
      </c>
      <c r="G66" s="13">
        <f>'Balance Sheet (USD)'!G24/'Income Statement (USD 1''000)'!G$8</f>
        <v>5.1833471485500493E-2</v>
      </c>
      <c r="H66" s="13">
        <f>'Balance Sheet (USD)'!H24/'Income Statement (USD 1''000)'!H$8</f>
        <v>4.921231967071299E-2</v>
      </c>
    </row>
    <row r="67" spans="2:8" x14ac:dyDescent="0.25">
      <c r="B67" s="11" t="s">
        <v>38</v>
      </c>
      <c r="C67" s="13">
        <f>'Balance Sheet (USD)'!C25/'Income Statement (USD 1''000)'!C$8</f>
        <v>4.6092679450870207E-2</v>
      </c>
      <c r="D67" s="13">
        <f>'Balance Sheet (USD)'!D25/'Income Statement (USD 1''000)'!D$8</f>
        <v>1.6049400176424502E-2</v>
      </c>
      <c r="E67" s="13">
        <f>'Balance Sheet (USD)'!E25/'Income Statement (USD 1''000)'!E$8</f>
        <v>3.8790521491358247E-2</v>
      </c>
      <c r="F67" s="13">
        <f>'Balance Sheet (USD)'!F25/'Income Statement (USD 1''000)'!F$8</f>
        <v>1.2790230838477995E-4</v>
      </c>
      <c r="G67" s="13">
        <f>'Balance Sheet (USD)'!G25/'Income Statement (USD 1''000)'!G$8</f>
        <v>3.3793160874875099E-2</v>
      </c>
      <c r="H67" s="13">
        <f>'Balance Sheet (USD)'!H25/'Income Statement (USD 1''000)'!H$8</f>
        <v>6.7679479101825382E-2</v>
      </c>
    </row>
    <row r="68" spans="2:8" x14ac:dyDescent="0.25">
      <c r="B68" s="16" t="s">
        <v>39</v>
      </c>
      <c r="C68" s="18">
        <f>'Balance Sheet (USD)'!C26/'Income Statement (USD 1''000)'!C$8</f>
        <v>0.2290324349688036</v>
      </c>
      <c r="D68" s="18">
        <f>'Balance Sheet (USD)'!D26/'Income Statement (USD 1''000)'!D$8</f>
        <v>0.19303008096976906</v>
      </c>
      <c r="E68" s="18">
        <f>'Balance Sheet (USD)'!E26/'Income Statement (USD 1''000)'!E$8</f>
        <v>0.22141092782152152</v>
      </c>
      <c r="F68" s="18">
        <f>'Balance Sheet (USD)'!F26/'Income Statement (USD 1''000)'!F$8</f>
        <v>0.19703420575115388</v>
      </c>
      <c r="G68" s="18">
        <f>'Balance Sheet (USD)'!G26/'Income Statement (USD 1''000)'!G$8</f>
        <v>0.26080672421988937</v>
      </c>
      <c r="H68" s="18">
        <f>'Balance Sheet (USD)'!H26/'Income Statement (USD 1''000)'!H$8</f>
        <v>0.30026049782404035</v>
      </c>
    </row>
    <row r="69" spans="2:8" x14ac:dyDescent="0.25">
      <c r="B69" s="11" t="s">
        <v>40</v>
      </c>
      <c r="C69" s="13">
        <f>'Balance Sheet (USD)'!C27/'Income Statement (USD 1''000)'!C$8</f>
        <v>0.271878425867425</v>
      </c>
      <c r="D69" s="13">
        <f>'Balance Sheet (USD)'!D27/'Income Statement (USD 1''000)'!D$8</f>
        <v>0.28754496950066338</v>
      </c>
      <c r="E69" s="13">
        <f>'Balance Sheet (USD)'!E27/'Income Statement (USD 1''000)'!E$8</f>
        <v>0.23041976734175645</v>
      </c>
      <c r="F69" s="13">
        <f>'Balance Sheet (USD)'!F27/'Income Statement (USD 1''000)'!F$8</f>
        <v>0.25120657076419112</v>
      </c>
      <c r="G69" s="13">
        <f>'Balance Sheet (USD)'!G27/'Income Statement (USD 1''000)'!G$8</f>
        <v>0.20780991806803986</v>
      </c>
      <c r="H69" s="13">
        <f>'Balance Sheet (USD)'!H27/'Income Statement (USD 1''000)'!H$8</f>
        <v>0.21079867858478282</v>
      </c>
    </row>
    <row r="70" spans="2:8" x14ac:dyDescent="0.25">
      <c r="B70" s="11" t="s">
        <v>41</v>
      </c>
      <c r="C70" s="13">
        <f>'Balance Sheet (USD)'!C28/'Income Statement (USD 1''000)'!C$8</f>
        <v>8.7191009571665284E-2</v>
      </c>
      <c r="D70" s="13">
        <f>'Balance Sheet (USD)'!D28/'Income Statement (USD 1''000)'!D$8</f>
        <v>0.10151250134028682</v>
      </c>
      <c r="E70" s="13">
        <f>'Balance Sheet (USD)'!E28/'Income Statement (USD 1''000)'!E$8</f>
        <v>0.10064819937594179</v>
      </c>
      <c r="F70" s="13">
        <f>'Balance Sheet (USD)'!F28/'Income Statement (USD 1''000)'!F$8</f>
        <v>6.0742121658604667E-2</v>
      </c>
      <c r="G70" s="13">
        <f>'Balance Sheet (USD)'!G28/'Income Statement (USD 1''000)'!G$8</f>
        <v>7.087300492281623E-2</v>
      </c>
      <c r="H70" s="13">
        <f>'Balance Sheet (USD)'!H28/'Income Statement (USD 1''000)'!H$8</f>
        <v>6.3454952233942805E-2</v>
      </c>
    </row>
    <row r="71" spans="2:8" x14ac:dyDescent="0.25">
      <c r="B71" s="11" t="s">
        <v>25</v>
      </c>
      <c r="C71" s="13">
        <f>'Balance Sheet (USD)'!C29/'Income Statement (USD 1''000)'!C$8</f>
        <v>0</v>
      </c>
      <c r="D71" s="13">
        <f>'Balance Sheet (USD)'!D29/'Income Statement (USD 1''000)'!D$8</f>
        <v>0</v>
      </c>
      <c r="E71" s="13">
        <f>'Balance Sheet (USD)'!E29/'Income Statement (USD 1''000)'!E$8</f>
        <v>5.3665935608703582E-3</v>
      </c>
      <c r="F71" s="13">
        <f>'Balance Sheet (USD)'!F29/'Income Statement (USD 1''000)'!F$8</f>
        <v>1.4581982650905483E-2</v>
      </c>
      <c r="G71" s="13">
        <f>'Balance Sheet (USD)'!G29/'Income Statement (USD 1''000)'!G$8</f>
        <v>1.3389397243352258E-2</v>
      </c>
      <c r="H71" s="13">
        <f>'Balance Sheet (USD)'!H29/'Income Statement (USD 1''000)'!H$8</f>
        <v>7.2005811584341757E-3</v>
      </c>
    </row>
    <row r="72" spans="2:8" x14ac:dyDescent="0.25">
      <c r="B72" s="8" t="s">
        <v>42</v>
      </c>
      <c r="C72" s="20">
        <f>'Balance Sheet (USD)'!C30/'Income Statement (USD 1''000)'!C$8</f>
        <v>0.58810187040789386</v>
      </c>
      <c r="D72" s="20">
        <f>'Balance Sheet (USD)'!D30/'Income Statement (USD 1''000)'!D$8</f>
        <v>0.58208755181071925</v>
      </c>
      <c r="E72" s="20">
        <f>'Balance Sheet (USD)'!E30/'Income Statement (USD 1''000)'!E$8</f>
        <v>0.55784548810009016</v>
      </c>
      <c r="F72" s="20">
        <f>'Balance Sheet (USD)'!F30/'Income Statement (USD 1''000)'!F$8</f>
        <v>0.52356488082485519</v>
      </c>
      <c r="G72" s="20">
        <f>'Balance Sheet (USD)'!G30/'Income Statement (USD 1''000)'!G$8</f>
        <v>0.55287904445409775</v>
      </c>
      <c r="H72" s="20">
        <f>'Balance Sheet (USD)'!H30/'Income Statement (USD 1''000)'!H$8</f>
        <v>0.58171470980120021</v>
      </c>
    </row>
    <row r="73" spans="2:8" x14ac:dyDescent="0.25">
      <c r="B73" s="23"/>
      <c r="C73" s="15"/>
      <c r="D73" s="15"/>
      <c r="E73" s="15"/>
      <c r="F73" s="15"/>
      <c r="G73" s="15"/>
      <c r="H73" s="15"/>
    </row>
    <row r="74" spans="2:8" x14ac:dyDescent="0.25">
      <c r="B74" s="11" t="s">
        <v>43</v>
      </c>
      <c r="C74" s="13">
        <f>'Balance Sheet (USD)'!C32/'Income Statement (USD 1''000)'!C$8</f>
        <v>5.2758688974043247E-2</v>
      </c>
      <c r="D74" s="13">
        <f>'Balance Sheet (USD)'!D32/'Income Statement (USD 1''000)'!D$8</f>
        <v>4.9215496412635992E-2</v>
      </c>
      <c r="E74" s="13">
        <f>'Balance Sheet (USD)'!E32/'Income Statement (USD 1''000)'!E$8</f>
        <v>4.5042241022766744E-2</v>
      </c>
      <c r="F74" s="13">
        <f>'Balance Sheet (USD)'!F32/'Income Statement (USD 1''000)'!F$8</f>
        <v>4.1880449404491607E-2</v>
      </c>
      <c r="G74" s="13">
        <f>'Balance Sheet (USD)'!G32/'Income Statement (USD 1''000)'!G$8</f>
        <v>4.032475819777713E-2</v>
      </c>
      <c r="H74" s="13">
        <f>'Balance Sheet (USD)'!H32/'Income Statement (USD 1''000)'!H$8</f>
        <v>4.0516603927151583E-2</v>
      </c>
    </row>
    <row r="75" spans="2:8" x14ac:dyDescent="0.25">
      <c r="B75" s="11" t="s">
        <v>44</v>
      </c>
      <c r="C75" s="13">
        <f>'Balance Sheet (USD)'!C33/'Income Statement (USD 1''000)'!C$8</f>
        <v>1.0704620641582476E-2</v>
      </c>
      <c r="D75" s="13">
        <f>'Balance Sheet (USD)'!D33/'Income Statement (USD 1''000)'!D$8</f>
        <v>9.9710761171085058E-3</v>
      </c>
      <c r="E75" s="13">
        <f>'Balance Sheet (USD)'!E33/'Income Statement (USD 1''000)'!E$8</f>
        <v>9.1250301764592909E-3</v>
      </c>
      <c r="F75" s="13">
        <f>'Balance Sheet (USD)'!F33/'Income Statement (USD 1''000)'!F$8</f>
        <v>8.4829736698964573E-3</v>
      </c>
      <c r="G75" s="13">
        <f>'Balance Sheet (USD)'!G33/'Income Statement (USD 1''000)'!G$8</f>
        <v>8.1678651232428724E-3</v>
      </c>
      <c r="H75" s="13">
        <f>'Balance Sheet (USD)'!H33/'Income Statement (USD 1''000)'!H$8</f>
        <v>8.206723881783104E-3</v>
      </c>
    </row>
    <row r="76" spans="2:8" x14ac:dyDescent="0.25">
      <c r="B76" s="11" t="s">
        <v>45</v>
      </c>
      <c r="C76" s="13">
        <f>'Balance Sheet (USD)'!C34/'Income Statement (USD 1''000)'!C$8</f>
        <v>7.6682121294464528E-2</v>
      </c>
      <c r="D76" s="13">
        <f>'Balance Sheet (USD)'!D34/'Income Statement (USD 1''000)'!D$8</f>
        <v>8.0716019042268869E-2</v>
      </c>
      <c r="E76" s="13">
        <f>'Balance Sheet (USD)'!E34/'Income Statement (USD 1''000)'!E$8</f>
        <v>8.9246313956785506E-2</v>
      </c>
      <c r="F76" s="13">
        <f>'Balance Sheet (USD)'!F34/'Income Statement (USD 1''000)'!F$8</f>
        <v>9.3050188781848064E-2</v>
      </c>
      <c r="G76" s="13">
        <f>'Balance Sheet (USD)'!G34/'Income Statement (USD 1''000)'!G$8</f>
        <v>0.101618105012175</v>
      </c>
      <c r="H76" s="13">
        <f>'Balance Sheet (USD)'!H34/'Income Statement (USD 1''000)'!H$8</f>
        <v>0.10612111673177985</v>
      </c>
    </row>
    <row r="77" spans="2:8" x14ac:dyDescent="0.25">
      <c r="B77" s="11" t="s">
        <v>46</v>
      </c>
      <c r="C77" s="13">
        <f>'Balance Sheet (USD)'!C35/'Income Statement (USD 1''000)'!C$8</f>
        <v>0.77141792580473778</v>
      </c>
      <c r="D77" s="13">
        <f>'Balance Sheet (USD)'!D35/'Income Statement (USD 1''000)'!D$8</f>
        <v>0.77285986618839531</v>
      </c>
      <c r="E77" s="13">
        <f>'Balance Sheet (USD)'!E35/'Income Statement (USD 1''000)'!E$8</f>
        <v>0.75668668196209299</v>
      </c>
      <c r="F77" s="13">
        <f>'Balance Sheet (USD)'!F35/'Income Statement (USD 1''000)'!F$8</f>
        <v>0.76325576585425381</v>
      </c>
      <c r="G77" s="13">
        <f>'Balance Sheet (USD)'!G35/'Income Statement (USD 1''000)'!G$8</f>
        <v>0.78967491303958837</v>
      </c>
      <c r="H77" s="13">
        <f>'Balance Sheet (USD)'!H35/'Income Statement (USD 1''000)'!H$8</f>
        <v>0.79841635409725631</v>
      </c>
    </row>
    <row r="78" spans="2:8" x14ac:dyDescent="0.25">
      <c r="B78" s="11" t="s">
        <v>47</v>
      </c>
      <c r="C78" s="13">
        <f>'Balance Sheet (USD)'!C36/'Income Statement (USD 1''000)'!C$8</f>
        <v>-0.7145291076067769</v>
      </c>
      <c r="D78" s="13">
        <f>'Balance Sheet (USD)'!D36/'Income Statement (USD 1''000)'!D$8</f>
        <v>-0.70039639599341397</v>
      </c>
      <c r="E78" s="13">
        <f>'Balance Sheet (USD)'!E36/'Income Statement (USD 1''000)'!E$8</f>
        <v>-0.6861070290530823</v>
      </c>
      <c r="F78" s="13">
        <f>'Balance Sheet (USD)'!F36/'Income Statement (USD 1''000)'!F$8</f>
        <v>-0.65878504841606145</v>
      </c>
      <c r="G78" s="13">
        <f>'Balance Sheet (USD)'!G36/'Income Statement (USD 1''000)'!G$8</f>
        <v>-0.69541866574110101</v>
      </c>
      <c r="H78" s="13">
        <f>'Balance Sheet (USD)'!H36/'Income Statement (USD 1''000)'!H$8</f>
        <v>-0.76792286491829964</v>
      </c>
    </row>
    <row r="79" spans="2:8" x14ac:dyDescent="0.25">
      <c r="B79" s="11" t="s">
        <v>48</v>
      </c>
      <c r="C79" s="13">
        <f>'Balance Sheet (USD)'!C37/'Income Statement (USD 1''000)'!C$8</f>
        <v>-3.7923939108543116E-2</v>
      </c>
      <c r="D79" s="13">
        <f>'Balance Sheet (USD)'!D37/'Income Statement (USD 1''000)'!D$8</f>
        <v>-7.2742381415040289E-2</v>
      </c>
      <c r="E79" s="13">
        <f>'Balance Sheet (USD)'!E37/'Income Statement (USD 1''000)'!E$8</f>
        <v>-5.7956260539184845E-2</v>
      </c>
      <c r="F79" s="13">
        <f>'Balance Sheet (USD)'!F37/'Income Statement (USD 1''000)'!F$8</f>
        <v>-2.3308866302765473E-2</v>
      </c>
      <c r="G79" s="13">
        <f>'Balance Sheet (USD)'!G37/'Income Statement (USD 1''000)'!G$8</f>
        <v>-4.8313690215053877E-2</v>
      </c>
      <c r="H79" s="13">
        <f>'Balance Sheet (USD)'!H37/'Income Statement (USD 1''000)'!H$8</f>
        <v>-5.0229292778597424E-2</v>
      </c>
    </row>
    <row r="80" spans="2:8" x14ac:dyDescent="0.25">
      <c r="B80" s="16" t="s">
        <v>49</v>
      </c>
      <c r="C80" s="18">
        <f>'Balance Sheet (USD)'!C38/'Income Statement (USD 1''000)'!C$8</f>
        <v>0.15911030999950804</v>
      </c>
      <c r="D80" s="18">
        <f>'Balance Sheet (USD)'!D38/'Income Statement (USD 1''000)'!D$8</f>
        <v>0.13962368035195438</v>
      </c>
      <c r="E80" s="18">
        <f>'Balance Sheet (USD)'!E38/'Income Statement (USD 1''000)'!E$8</f>
        <v>0.15603697752583737</v>
      </c>
      <c r="F80" s="18">
        <f>'Balance Sheet (USD)'!F38/'Income Statement (USD 1''000)'!F$8</f>
        <v>0.22457546299166298</v>
      </c>
      <c r="G80" s="18">
        <f>'Balance Sheet (USD)'!G38/'Income Statement (USD 1''000)'!G$8</f>
        <v>0.1960532854166285</v>
      </c>
      <c r="H80" s="18">
        <f>'Balance Sheet (USD)'!H38/'Income Statement (USD 1''000)'!H$8</f>
        <v>0.13510864094107378</v>
      </c>
    </row>
    <row r="81" spans="2:8" x14ac:dyDescent="0.25">
      <c r="B81" s="11" t="s">
        <v>50</v>
      </c>
      <c r="C81" s="13">
        <f>'Balance Sheet (USD)'!C39/'Income Statement (USD 1''000)'!C$8</f>
        <v>6.2219968263143299E-3</v>
      </c>
      <c r="D81" s="13">
        <f>'Balance Sheet (USD)'!D39/'Income Statement (USD 1''000)'!D$8</f>
        <v>3.8853517011282089E-3</v>
      </c>
      <c r="E81" s="13">
        <f>'Balance Sheet (USD)'!E39/'Income Statement (USD 1''000)'!E$8</f>
        <v>1.749482108746026E-3</v>
      </c>
      <c r="F81" s="13">
        <f>'Balance Sheet (USD)'!F39/'Income Statement (USD 1''000)'!F$8</f>
        <v>1.5698119206350783E-3</v>
      </c>
      <c r="G81" s="13">
        <f>'Balance Sheet (USD)'!G39/'Income Statement (USD 1''000)'!G$8</f>
        <v>8.6863399664338734E-3</v>
      </c>
      <c r="H81" s="13">
        <f>'Balance Sheet (USD)'!H39/'Income Statement (USD 1''000)'!H$8</f>
        <v>6.6965621381128541E-3</v>
      </c>
    </row>
    <row r="82" spans="2:8" x14ac:dyDescent="0.25">
      <c r="B82" s="8" t="s">
        <v>51</v>
      </c>
      <c r="C82" s="25">
        <f>'Balance Sheet (USD)'!C40/'Income Statement (USD 1''000)'!C$8</f>
        <v>0.16533230682582237</v>
      </c>
      <c r="D82" s="25">
        <f>'Balance Sheet (USD)'!D40/'Income Statement (USD 1''000)'!D$8</f>
        <v>0.1435090320530826</v>
      </c>
      <c r="E82" s="25">
        <f>'Balance Sheet (USD)'!E40/'Income Statement (USD 1''000)'!E$8</f>
        <v>0.1577864596345834</v>
      </c>
      <c r="F82" s="25">
        <f>'Balance Sheet (USD)'!F40/'Income Statement (USD 1''000)'!F$8</f>
        <v>0.22614527491229805</v>
      </c>
      <c r="G82" s="25">
        <f>'Balance Sheet (USD)'!G40/'Income Statement (USD 1''000)'!G$8</f>
        <v>0.20473962538306237</v>
      </c>
      <c r="H82" s="25">
        <f>'Balance Sheet (USD)'!H40/'Income Statement (USD 1''000)'!H$8</f>
        <v>0.14180520307918662</v>
      </c>
    </row>
    <row r="83" spans="2:8" x14ac:dyDescent="0.25">
      <c r="B83" s="8" t="s">
        <v>52</v>
      </c>
      <c r="C83" s="20">
        <f>'Balance Sheet (USD)'!C41/'Income Statement (USD 1''000)'!C$8</f>
        <v>0.75343417723371631</v>
      </c>
      <c r="D83" s="20">
        <f>'Balance Sheet (USD)'!D41/'Income Statement (USD 1''000)'!D$8</f>
        <v>0.72559658386380188</v>
      </c>
      <c r="E83" s="20">
        <f>'Balance Sheet (USD)'!E41/'Income Statement (USD 1''000)'!E$8</f>
        <v>0.71563194773467353</v>
      </c>
      <c r="F83" s="20">
        <f>'Balance Sheet (USD)'!F41/'Income Statement (USD 1''000)'!F$8</f>
        <v>0.74971015573715316</v>
      </c>
      <c r="G83" s="20">
        <f>'Balance Sheet (USD)'!G41/'Income Statement (USD 1''000)'!G$8</f>
        <v>0.75761866983716009</v>
      </c>
      <c r="H83" s="20">
        <f>'Balance Sheet (USD)'!H41/'Income Statement (USD 1''000)'!H$8</f>
        <v>0.72351991288038675</v>
      </c>
    </row>
  </sheetData>
  <pageMargins left="0.7" right="0.7" top="0.75" bottom="0.75" header="0.3" footer="0.3"/>
  <pageSetup paperSize="9" scale="82" fitToHeight="0" orientation="portrait" verticalDpi="0" r:id="rId1"/>
  <rowBreaks count="1" manualBreakCount="1">
    <brk id="42" min="1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36"/>
  <sheetViews>
    <sheetView workbookViewId="0">
      <selection activeCell="B3" sqref="B3:H31"/>
    </sheetView>
  </sheetViews>
  <sheetFormatPr defaultColWidth="8.85546875" defaultRowHeight="15" x14ac:dyDescent="0.25"/>
  <cols>
    <col min="1" max="1" width="8.85546875" style="73"/>
    <col min="2" max="2" width="34.85546875" style="73" customWidth="1"/>
    <col min="3" max="3" width="9.140625" style="73" customWidth="1"/>
    <col min="4" max="6" width="8.85546875" style="73"/>
    <col min="7" max="7" width="9.140625" style="73" customWidth="1"/>
    <col min="8" max="16384" width="8.85546875" style="73"/>
  </cols>
  <sheetData>
    <row r="3" spans="2:15" x14ac:dyDescent="0.25">
      <c r="B3" s="96" t="s">
        <v>114</v>
      </c>
    </row>
    <row r="6" spans="2:15" x14ac:dyDescent="0.25">
      <c r="B6" s="94" t="s">
        <v>0</v>
      </c>
      <c r="C6" s="95">
        <v>2010</v>
      </c>
      <c r="D6" s="95">
        <v>2011</v>
      </c>
      <c r="E6" s="95">
        <v>2012</v>
      </c>
      <c r="F6" s="95">
        <v>2013</v>
      </c>
      <c r="G6" s="95">
        <v>2014</v>
      </c>
      <c r="H6" s="95">
        <v>2015</v>
      </c>
      <c r="I6" s="1" t="s">
        <v>1</v>
      </c>
      <c r="J6" s="1" t="s">
        <v>1</v>
      </c>
      <c r="K6" s="1" t="s">
        <v>1</v>
      </c>
      <c r="L6" s="1" t="s">
        <v>1</v>
      </c>
      <c r="M6" s="1" t="s">
        <v>1</v>
      </c>
      <c r="N6" s="1" t="s">
        <v>1</v>
      </c>
      <c r="O6" s="1" t="s">
        <v>1</v>
      </c>
    </row>
    <row r="7" spans="2:15" x14ac:dyDescent="0.25">
      <c r="B7" s="93"/>
      <c r="C7" s="92" t="s">
        <v>2</v>
      </c>
      <c r="D7" s="92" t="s">
        <v>2</v>
      </c>
      <c r="E7" s="92" t="s">
        <v>2</v>
      </c>
      <c r="F7" s="92" t="s">
        <v>2</v>
      </c>
      <c r="G7" s="92" t="s">
        <v>2</v>
      </c>
      <c r="H7" s="92" t="s">
        <v>2</v>
      </c>
      <c r="K7" s="71"/>
      <c r="L7" s="1" t="s">
        <v>1</v>
      </c>
      <c r="O7" s="71"/>
    </row>
    <row r="8" spans="2:15" x14ac:dyDescent="0.25">
      <c r="B8" s="78" t="s">
        <v>4</v>
      </c>
      <c r="C8" s="79">
        <v>5671009</v>
      </c>
      <c r="D8" s="79">
        <v>6080788</v>
      </c>
      <c r="E8" s="79">
        <v>6644252</v>
      </c>
      <c r="F8" s="79">
        <v>7146079</v>
      </c>
      <c r="G8" s="79">
        <v>7421768</v>
      </c>
      <c r="H8" s="79">
        <v>7386626</v>
      </c>
      <c r="J8" s="71"/>
      <c r="K8" s="1" t="s">
        <v>1</v>
      </c>
      <c r="L8" s="1" t="s">
        <v>1</v>
      </c>
      <c r="O8" s="1" t="s">
        <v>1</v>
      </c>
    </row>
    <row r="9" spans="2:15" x14ac:dyDescent="0.25">
      <c r="B9" s="80" t="s">
        <v>5</v>
      </c>
      <c r="C9" s="81"/>
      <c r="D9" s="81"/>
      <c r="E9" s="81"/>
      <c r="F9" s="81" t="s">
        <v>1</v>
      </c>
      <c r="G9" s="81" t="s">
        <v>1</v>
      </c>
      <c r="H9" s="81" t="s">
        <v>1</v>
      </c>
      <c r="L9" s="1" t="s">
        <v>1</v>
      </c>
    </row>
    <row r="10" spans="2:15" x14ac:dyDescent="0.25">
      <c r="B10" s="80" t="s">
        <v>6</v>
      </c>
      <c r="C10" s="82">
        <v>3255801</v>
      </c>
      <c r="D10" s="82">
        <v>3548896</v>
      </c>
      <c r="E10" s="82">
        <v>3784370</v>
      </c>
      <c r="F10" s="82">
        <v>3865231</v>
      </c>
      <c r="G10" s="82">
        <v>4085602</v>
      </c>
      <c r="H10" s="82">
        <v>4003951</v>
      </c>
      <c r="J10" s="71"/>
      <c r="K10" s="1" t="s">
        <v>1</v>
      </c>
      <c r="L10" s="1" t="s">
        <v>1</v>
      </c>
      <c r="N10" s="3"/>
      <c r="O10" s="1" t="s">
        <v>1</v>
      </c>
    </row>
    <row r="11" spans="2:15" x14ac:dyDescent="0.25">
      <c r="B11" s="80" t="s">
        <v>7</v>
      </c>
      <c r="C11" s="82">
        <v>1426477</v>
      </c>
      <c r="D11" s="82">
        <v>1477750</v>
      </c>
      <c r="E11" s="82">
        <v>1703796</v>
      </c>
      <c r="F11" s="82">
        <v>1924132</v>
      </c>
      <c r="G11" s="82">
        <v>1898284</v>
      </c>
      <c r="H11" s="82">
        <v>1969308</v>
      </c>
      <c r="J11" s="71"/>
      <c r="K11" s="1" t="s">
        <v>1</v>
      </c>
      <c r="L11" s="1" t="s">
        <v>1</v>
      </c>
      <c r="N11" s="3"/>
      <c r="O11" s="1" t="s">
        <v>1</v>
      </c>
    </row>
    <row r="12" spans="2:15" x14ac:dyDescent="0.25">
      <c r="B12" s="80" t="s">
        <v>8</v>
      </c>
      <c r="C12" s="81">
        <v>0</v>
      </c>
      <c r="D12" s="82">
        <v>0</v>
      </c>
      <c r="E12" s="81">
        <v>0</v>
      </c>
      <c r="F12" s="81">
        <v>0</v>
      </c>
      <c r="G12" s="82">
        <v>15900</v>
      </c>
      <c r="H12" s="82">
        <v>280802</v>
      </c>
      <c r="J12" s="71"/>
      <c r="K12" s="1" t="s">
        <v>1</v>
      </c>
      <c r="L12" s="1" t="s">
        <v>1</v>
      </c>
      <c r="O12" s="1" t="s">
        <v>1</v>
      </c>
    </row>
    <row r="13" spans="2:15" x14ac:dyDescent="0.25">
      <c r="B13" s="80" t="s">
        <v>9</v>
      </c>
      <c r="C13" s="82">
        <v>83433</v>
      </c>
      <c r="D13" s="82">
        <v>-886</v>
      </c>
      <c r="E13" s="82">
        <v>44938</v>
      </c>
      <c r="F13" s="82">
        <v>18665</v>
      </c>
      <c r="G13" s="82">
        <v>29721</v>
      </c>
      <c r="H13" s="82">
        <v>94806</v>
      </c>
      <c r="J13" s="71"/>
      <c r="K13" s="1" t="s">
        <v>1</v>
      </c>
      <c r="L13" s="1" t="s">
        <v>1</v>
      </c>
      <c r="N13" s="3"/>
      <c r="O13" s="1" t="s">
        <v>1</v>
      </c>
    </row>
    <row r="14" spans="2:15" x14ac:dyDescent="0.25">
      <c r="B14" s="83" t="s">
        <v>10</v>
      </c>
      <c r="C14" s="84">
        <f t="shared" ref="C14:E14" si="0">SUM(C10:C13)</f>
        <v>4765711</v>
      </c>
      <c r="D14" s="84">
        <f t="shared" si="0"/>
        <v>5025760</v>
      </c>
      <c r="E14" s="84">
        <f t="shared" si="0"/>
        <v>5533104</v>
      </c>
      <c r="F14" s="84">
        <f>SUM(F10:F13)</f>
        <v>5808028</v>
      </c>
      <c r="G14" s="84">
        <f t="shared" ref="G14:H14" si="1">SUM(G10:G13)</f>
        <v>6029507</v>
      </c>
      <c r="H14" s="84">
        <f t="shared" si="1"/>
        <v>6348867</v>
      </c>
      <c r="J14" s="71"/>
      <c r="K14" s="1" t="s">
        <v>1</v>
      </c>
      <c r="L14" s="1" t="s">
        <v>1</v>
      </c>
      <c r="N14" s="3"/>
      <c r="O14" s="1" t="s">
        <v>1</v>
      </c>
    </row>
    <row r="15" spans="2:15" x14ac:dyDescent="0.25">
      <c r="B15" s="83" t="s">
        <v>11</v>
      </c>
      <c r="C15" s="85">
        <f t="shared" ref="C15:E15" si="2">C8-C14</f>
        <v>905298</v>
      </c>
      <c r="D15" s="85">
        <f t="shared" si="2"/>
        <v>1055028</v>
      </c>
      <c r="E15" s="85">
        <f t="shared" si="2"/>
        <v>1111148</v>
      </c>
      <c r="F15" s="85">
        <f>F8-F14</f>
        <v>1338051</v>
      </c>
      <c r="G15" s="85">
        <f t="shared" ref="G15:H15" si="3">G8-G14</f>
        <v>1392261</v>
      </c>
      <c r="H15" s="85">
        <f t="shared" si="3"/>
        <v>1037759</v>
      </c>
      <c r="J15" s="71"/>
      <c r="K15" s="1" t="s">
        <v>1</v>
      </c>
      <c r="L15" s="1" t="s">
        <v>1</v>
      </c>
      <c r="N15" s="3"/>
      <c r="O15" s="1" t="s">
        <v>1</v>
      </c>
    </row>
    <row r="16" spans="2:15" x14ac:dyDescent="0.25">
      <c r="B16" s="80" t="s">
        <v>12</v>
      </c>
      <c r="C16" s="82">
        <v>96434</v>
      </c>
      <c r="D16" s="82">
        <v>92183</v>
      </c>
      <c r="E16" s="82">
        <v>95569</v>
      </c>
      <c r="F16" s="82">
        <v>88356</v>
      </c>
      <c r="G16" s="82">
        <v>83532</v>
      </c>
      <c r="H16" s="82">
        <v>105773</v>
      </c>
      <c r="J16" s="71"/>
      <c r="K16" s="1" t="s">
        <v>1</v>
      </c>
      <c r="L16" s="1" t="s">
        <v>1</v>
      </c>
      <c r="N16" s="3"/>
      <c r="O16" s="1" t="s">
        <v>1</v>
      </c>
    </row>
    <row r="17" spans="2:15" x14ac:dyDescent="0.25">
      <c r="B17" s="80" t="s">
        <v>13</v>
      </c>
      <c r="C17" s="82">
        <v>0</v>
      </c>
      <c r="D17" s="82">
        <v>0</v>
      </c>
      <c r="E17" s="82">
        <v>0</v>
      </c>
      <c r="F17" s="82">
        <v>-1624</v>
      </c>
      <c r="G17" s="82">
        <v>2686</v>
      </c>
      <c r="H17" s="82">
        <v>30139</v>
      </c>
      <c r="J17" s="71"/>
      <c r="K17" s="1" t="s">
        <v>1</v>
      </c>
      <c r="L17" s="1" t="s">
        <v>1</v>
      </c>
      <c r="N17" s="3"/>
      <c r="O17" s="4" t="s">
        <v>1</v>
      </c>
    </row>
    <row r="18" spans="2:15" x14ac:dyDescent="0.25">
      <c r="B18" s="83" t="s">
        <v>14</v>
      </c>
      <c r="C18" s="85">
        <f t="shared" ref="C18:E18" si="4">C15-C16-C17</f>
        <v>808864</v>
      </c>
      <c r="D18" s="85">
        <f t="shared" si="4"/>
        <v>962845</v>
      </c>
      <c r="E18" s="85">
        <f t="shared" si="4"/>
        <v>1015579</v>
      </c>
      <c r="F18" s="85">
        <f>F15-F16-F17</f>
        <v>1251319</v>
      </c>
      <c r="G18" s="85">
        <f>G15-G16-G17</f>
        <v>1306043</v>
      </c>
      <c r="H18" s="85">
        <f>H15-H16-H17</f>
        <v>901847</v>
      </c>
      <c r="J18" s="71"/>
      <c r="K18" s="1" t="s">
        <v>1</v>
      </c>
      <c r="L18" s="1" t="s">
        <v>1</v>
      </c>
      <c r="N18" s="3"/>
      <c r="O18" s="1" t="s">
        <v>1</v>
      </c>
    </row>
    <row r="19" spans="2:15" s="86" customFormat="1" ht="12.75" x14ac:dyDescent="0.2">
      <c r="B19" s="80" t="s">
        <v>15</v>
      </c>
      <c r="C19" s="82">
        <v>299065</v>
      </c>
      <c r="D19" s="82">
        <v>333883</v>
      </c>
      <c r="E19" s="82">
        <v>354648</v>
      </c>
      <c r="F19" s="82">
        <v>430849</v>
      </c>
      <c r="G19" s="82">
        <v>459131</v>
      </c>
      <c r="H19" s="82">
        <v>388896</v>
      </c>
      <c r="J19" s="87"/>
      <c r="K19" s="1" t="s">
        <v>1</v>
      </c>
      <c r="L19" s="1" t="s">
        <v>1</v>
      </c>
      <c r="N19" s="3"/>
      <c r="O19" s="1" t="s">
        <v>1</v>
      </c>
    </row>
    <row r="20" spans="2:15" s="88" customFormat="1" ht="13.5" x14ac:dyDescent="0.25">
      <c r="B20" s="83" t="s">
        <v>16</v>
      </c>
      <c r="C20" s="85">
        <f t="shared" ref="C20:E20" si="5">C18-C19</f>
        <v>509799</v>
      </c>
      <c r="D20" s="85">
        <f t="shared" si="5"/>
        <v>628962</v>
      </c>
      <c r="E20" s="85">
        <f t="shared" si="5"/>
        <v>660931</v>
      </c>
      <c r="F20" s="85">
        <f>F18-F19</f>
        <v>820470</v>
      </c>
      <c r="G20" s="85">
        <f>G18-G19</f>
        <v>846912</v>
      </c>
      <c r="H20" s="85">
        <f>H18-H19</f>
        <v>512951</v>
      </c>
      <c r="J20" s="89"/>
      <c r="K20" s="6" t="s">
        <v>1</v>
      </c>
      <c r="L20" s="6" t="s">
        <v>1</v>
      </c>
      <c r="N20" s="7"/>
      <c r="O20" s="6" t="s">
        <v>1</v>
      </c>
    </row>
    <row r="23" spans="2:15" x14ac:dyDescent="0.25">
      <c r="B23" s="90" t="s">
        <v>79</v>
      </c>
      <c r="D23" s="91"/>
      <c r="E23" s="91"/>
      <c r="F23" s="91"/>
      <c r="G23" s="91"/>
      <c r="H23" s="91"/>
    </row>
    <row r="24" spans="2:15" x14ac:dyDescent="0.25">
      <c r="B24" s="83" t="s">
        <v>78</v>
      </c>
      <c r="C24" s="85"/>
      <c r="D24" s="85">
        <v>215763</v>
      </c>
      <c r="E24" s="85">
        <v>210037</v>
      </c>
      <c r="F24" s="85">
        <v>201033</v>
      </c>
      <c r="G24" s="85">
        <v>211532</v>
      </c>
      <c r="H24" s="85">
        <v>244928</v>
      </c>
    </row>
    <row r="25" spans="2:15" x14ac:dyDescent="0.25">
      <c r="B25" s="73" t="s">
        <v>80</v>
      </c>
      <c r="D25" s="73">
        <f>D19/D18</f>
        <v>0.34676713281992427</v>
      </c>
      <c r="E25" s="73">
        <f t="shared" ref="E25:H25" si="6">E19/E18</f>
        <v>0.34920769334537244</v>
      </c>
      <c r="F25" s="73">
        <f t="shared" si="6"/>
        <v>0.34431587788565504</v>
      </c>
      <c r="G25" s="73">
        <f t="shared" si="6"/>
        <v>0.35154355561034362</v>
      </c>
      <c r="H25" s="73">
        <f t="shared" si="6"/>
        <v>0.43122170390321196</v>
      </c>
    </row>
    <row r="27" spans="2:15" x14ac:dyDescent="0.25">
      <c r="B27" s="83" t="s">
        <v>81</v>
      </c>
      <c r="C27" s="85"/>
      <c r="D27" s="85">
        <f t="shared" ref="D27:G27" si="7">D15+D24+D12</f>
        <v>1270791</v>
      </c>
      <c r="E27" s="85">
        <f t="shared" si="7"/>
        <v>1321185</v>
      </c>
      <c r="F27" s="85">
        <f t="shared" si="7"/>
        <v>1539084</v>
      </c>
      <c r="G27" s="85">
        <f t="shared" si="7"/>
        <v>1619693</v>
      </c>
      <c r="H27" s="85">
        <f>H15+H24+H12</f>
        <v>1563489</v>
      </c>
    </row>
    <row r="28" spans="2:15" x14ac:dyDescent="0.25">
      <c r="B28" s="83" t="s">
        <v>58</v>
      </c>
      <c r="C28" s="85"/>
      <c r="D28" s="85">
        <f>D15*(1-D25)</f>
        <v>689178.96539526095</v>
      </c>
      <c r="E28" s="85">
        <f t="shared" ref="E28:H28" si="8">E15*(1-E25)</f>
        <v>723126.56995467609</v>
      </c>
      <c r="F28" s="85">
        <f t="shared" si="8"/>
        <v>877338.79527922149</v>
      </c>
      <c r="G28" s="85">
        <f t="shared" si="8"/>
        <v>902820.61772238731</v>
      </c>
      <c r="H28" s="85">
        <f t="shared" si="8"/>
        <v>590254.79577910656</v>
      </c>
    </row>
    <row r="31" spans="2:15" x14ac:dyDescent="0.25">
      <c r="B31" s="83" t="s">
        <v>105</v>
      </c>
      <c r="C31" s="85"/>
      <c r="D31" s="85">
        <v>304083</v>
      </c>
      <c r="E31" s="85">
        <v>341206</v>
      </c>
      <c r="F31" s="85">
        <v>393801</v>
      </c>
      <c r="G31" s="85">
        <v>440414</v>
      </c>
      <c r="H31" s="85">
        <v>476132</v>
      </c>
    </row>
    <row r="34" spans="5:12" x14ac:dyDescent="0.25">
      <c r="E34" s="71"/>
      <c r="F34" s="66" t="s">
        <v>1</v>
      </c>
      <c r="G34" s="60" t="s">
        <v>1</v>
      </c>
      <c r="I34" s="71"/>
      <c r="J34" s="66" t="s">
        <v>1</v>
      </c>
      <c r="K34" s="60" t="s">
        <v>1</v>
      </c>
    </row>
    <row r="36" spans="5:12" x14ac:dyDescent="0.25">
      <c r="E36" s="59"/>
      <c r="F36" s="71"/>
      <c r="G36" s="4"/>
      <c r="H36" s="72"/>
      <c r="J36" s="71"/>
      <c r="K36" s="66" t="s">
        <v>1</v>
      </c>
      <c r="L36" s="60" t="s">
        <v>1</v>
      </c>
    </row>
  </sheetData>
  <pageMargins left="0.7" right="0.7" top="0.75" bottom="0.75" header="0.3" footer="0.3"/>
  <pageSetup paperSize="9" scale="9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M20"/>
  <sheetViews>
    <sheetView tabSelected="1" workbookViewId="0">
      <selection activeCell="B40" sqref="B40"/>
    </sheetView>
  </sheetViews>
  <sheetFormatPr defaultColWidth="8.85546875" defaultRowHeight="15" x14ac:dyDescent="0.25"/>
  <cols>
    <col min="2" max="2" width="34.85546875" customWidth="1"/>
    <col min="3" max="3" width="9.140625" customWidth="1"/>
    <col min="7" max="7" width="9.140625" customWidth="1"/>
  </cols>
  <sheetData>
    <row r="4" spans="2:13" x14ac:dyDescent="0.25">
      <c r="B4" s="96" t="s">
        <v>114</v>
      </c>
      <c r="C4" s="73"/>
      <c r="D4" s="73"/>
      <c r="E4" s="73"/>
      <c r="F4" s="73"/>
      <c r="G4" s="73"/>
      <c r="H4" s="73"/>
    </row>
    <row r="5" spans="2:13" x14ac:dyDescent="0.25">
      <c r="B5" s="73"/>
      <c r="C5" s="73"/>
      <c r="D5" s="73"/>
      <c r="E5" s="73"/>
      <c r="F5" s="73"/>
      <c r="G5" s="73"/>
      <c r="H5" s="73"/>
    </row>
    <row r="6" spans="2:13" x14ac:dyDescent="0.25">
      <c r="B6" s="75" t="s">
        <v>0</v>
      </c>
      <c r="C6" s="76">
        <v>2010</v>
      </c>
      <c r="D6" s="76">
        <v>2011</v>
      </c>
      <c r="E6" s="76">
        <v>2012</v>
      </c>
      <c r="F6" s="76">
        <v>2013</v>
      </c>
      <c r="G6" s="76">
        <v>2014</v>
      </c>
      <c r="H6" s="76">
        <v>2015</v>
      </c>
      <c r="I6" s="1" t="s">
        <v>1</v>
      </c>
      <c r="J6" s="1" t="s">
        <v>1</v>
      </c>
      <c r="K6" s="1" t="s">
        <v>1</v>
      </c>
      <c r="L6" s="1" t="s">
        <v>1</v>
      </c>
      <c r="M6" s="1" t="s">
        <v>1</v>
      </c>
    </row>
    <row r="7" spans="2:13" x14ac:dyDescent="0.25">
      <c r="B7" s="73"/>
      <c r="C7" s="77" t="s">
        <v>3</v>
      </c>
      <c r="D7" s="77" t="s">
        <v>3</v>
      </c>
      <c r="E7" s="77" t="s">
        <v>3</v>
      </c>
      <c r="F7" s="77" t="s">
        <v>3</v>
      </c>
      <c r="G7" s="77" t="s">
        <v>3</v>
      </c>
      <c r="H7" s="77" t="s">
        <v>3</v>
      </c>
      <c r="I7" s="2"/>
      <c r="J7" s="1" t="s">
        <v>1</v>
      </c>
      <c r="M7" s="2"/>
    </row>
    <row r="8" spans="2:13" x14ac:dyDescent="0.25">
      <c r="B8" s="78" t="s">
        <v>4</v>
      </c>
      <c r="C8" s="97">
        <f>'Income Statement (USD 1''000)'!C8/'Income Statement (USD 1''000)'!C$8</f>
        <v>1</v>
      </c>
      <c r="D8" s="97">
        <f>'Income Statement (USD 1''000)'!D8/'Income Statement (USD 1''000)'!D$8</f>
        <v>1</v>
      </c>
      <c r="E8" s="97">
        <f>'Income Statement (USD 1''000)'!E8/'Income Statement (USD 1''000)'!E$8</f>
        <v>1</v>
      </c>
      <c r="F8" s="97">
        <f>'Income Statement (USD 1''000)'!F8/'Income Statement (USD 1''000)'!F$8</f>
        <v>1</v>
      </c>
      <c r="G8" s="97">
        <f>'Income Statement (USD 1''000)'!G8/'Income Statement (USD 1''000)'!G$8</f>
        <v>1</v>
      </c>
      <c r="H8" s="97">
        <f>'Income Statement (USD 1''000)'!H8/'Income Statement (USD 1''000)'!H$8</f>
        <v>1</v>
      </c>
      <c r="I8" s="1" t="s">
        <v>1</v>
      </c>
      <c r="J8" s="1" t="s">
        <v>1</v>
      </c>
      <c r="M8" s="1" t="s">
        <v>1</v>
      </c>
    </row>
    <row r="9" spans="2:13" x14ac:dyDescent="0.25">
      <c r="B9" s="80" t="s">
        <v>5</v>
      </c>
      <c r="C9" s="98"/>
      <c r="D9" s="98"/>
      <c r="E9" s="98"/>
      <c r="F9" s="98" t="s">
        <v>1</v>
      </c>
      <c r="G9" s="98" t="s">
        <v>1</v>
      </c>
      <c r="H9" s="98" t="s">
        <v>1</v>
      </c>
      <c r="J9" s="1" t="s">
        <v>1</v>
      </c>
    </row>
    <row r="10" spans="2:13" x14ac:dyDescent="0.25">
      <c r="B10" s="80" t="s">
        <v>6</v>
      </c>
      <c r="C10" s="98">
        <f>'Income Statement (USD 1''000)'!C10/'Income Statement (USD 1''000)'!C$8</f>
        <v>0.5741131780958203</v>
      </c>
      <c r="D10" s="98">
        <f>'Income Statement (USD 1''000)'!D10/'Income Statement (USD 1''000)'!D$8</f>
        <v>0.58362435921133904</v>
      </c>
      <c r="E10" s="98">
        <f>'Income Statement (USD 1''000)'!E10/'Income Statement (USD 1''000)'!E$8</f>
        <v>0.56957050996861647</v>
      </c>
      <c r="F10" s="98">
        <f>'Income Statement (USD 1''000)'!F10/'Income Statement (USD 1''000)'!F$8</f>
        <v>0.54088836689322917</v>
      </c>
      <c r="G10" s="98">
        <f>'Income Statement (USD 1''000)'!G10/'Income Statement (USD 1''000)'!G$8</f>
        <v>0.55048904789263153</v>
      </c>
      <c r="H10" s="98">
        <f>'Income Statement (USD 1''000)'!H10/'Income Statement (USD 1''000)'!H$8</f>
        <v>0.54205411239177403</v>
      </c>
      <c r="I10" s="1" t="s">
        <v>1</v>
      </c>
      <c r="J10" s="1" t="s">
        <v>1</v>
      </c>
      <c r="L10" s="3"/>
      <c r="M10" s="1" t="s">
        <v>1</v>
      </c>
    </row>
    <row r="11" spans="2:13" x14ac:dyDescent="0.25">
      <c r="B11" s="80" t="s">
        <v>7</v>
      </c>
      <c r="C11" s="98">
        <f>'Income Statement (USD 1''000)'!C11/'Income Statement (USD 1''000)'!C$8</f>
        <v>0.25153848283435981</v>
      </c>
      <c r="D11" s="98">
        <f>'Income Statement (USD 1''000)'!D11/'Income Statement (USD 1''000)'!D$8</f>
        <v>0.24301949023712058</v>
      </c>
      <c r="E11" s="98">
        <f>'Income Statement (USD 1''000)'!E11/'Income Statement (USD 1''000)'!E$8</f>
        <v>0.25643157423890606</v>
      </c>
      <c r="F11" s="98">
        <f>'Income Statement (USD 1''000)'!F11/'Income Statement (USD 1''000)'!F$8</f>
        <v>0.26925702892453329</v>
      </c>
      <c r="G11" s="98">
        <f>'Income Statement (USD 1''000)'!G11/'Income Statement (USD 1''000)'!G$8</f>
        <v>0.25577247901039213</v>
      </c>
      <c r="H11" s="98">
        <f>'Income Statement (USD 1''000)'!H11/'Income Statement (USD 1''000)'!H$8</f>
        <v>0.26660453636071463</v>
      </c>
      <c r="I11" s="1" t="s">
        <v>1</v>
      </c>
      <c r="J11" s="1" t="s">
        <v>1</v>
      </c>
      <c r="L11" s="3"/>
      <c r="M11" s="1" t="s">
        <v>1</v>
      </c>
    </row>
    <row r="12" spans="2:13" x14ac:dyDescent="0.25">
      <c r="B12" s="80" t="s">
        <v>8</v>
      </c>
      <c r="C12" s="98">
        <f>'Income Statement (USD 1''000)'!C12/'Income Statement (USD 1''000)'!C$8</f>
        <v>0</v>
      </c>
      <c r="D12" s="98">
        <f>'Income Statement (USD 1''000)'!D12/'Income Statement (USD 1''000)'!D$8</f>
        <v>0</v>
      </c>
      <c r="E12" s="98">
        <f>'Income Statement (USD 1''000)'!E12/'Income Statement (USD 1''000)'!E$8</f>
        <v>0</v>
      </c>
      <c r="F12" s="98">
        <f>'Income Statement (USD 1''000)'!F12/'Income Statement (USD 1''000)'!F$8</f>
        <v>0</v>
      </c>
      <c r="G12" s="98">
        <f>'Income Statement (USD 1''000)'!G12/'Income Statement (USD 1''000)'!G$8</f>
        <v>2.1423466753474375E-3</v>
      </c>
      <c r="H12" s="98">
        <f>'Income Statement (USD 1''000)'!H12/'Income Statement (USD 1''000)'!H$8</f>
        <v>3.8014920479255344E-2</v>
      </c>
      <c r="I12" s="1" t="s">
        <v>1</v>
      </c>
      <c r="J12" s="1" t="s">
        <v>1</v>
      </c>
      <c r="M12" s="1" t="s">
        <v>1</v>
      </c>
    </row>
    <row r="13" spans="2:13" x14ac:dyDescent="0.25">
      <c r="B13" s="80" t="s">
        <v>9</v>
      </c>
      <c r="C13" s="98">
        <f>'Income Statement (USD 1''000)'!C13/'Income Statement (USD 1''000)'!C$8</f>
        <v>1.4712196718432293E-2</v>
      </c>
      <c r="D13" s="98">
        <f>'Income Statement (USD 1''000)'!D13/'Income Statement (USD 1''000)'!D$8</f>
        <v>-1.4570480010156578E-4</v>
      </c>
      <c r="E13" s="98">
        <f>'Income Statement (USD 1''000)'!E13/'Income Statement (USD 1''000)'!E$8</f>
        <v>6.763440038096087E-3</v>
      </c>
      <c r="F13" s="98">
        <f>'Income Statement (USD 1''000)'!F13/'Income Statement (USD 1''000)'!F$8</f>
        <v>2.6119218665228861E-3</v>
      </c>
      <c r="G13" s="98">
        <f>'Income Statement (USD 1''000)'!G13/'Income Statement (USD 1''000)'!G$8</f>
        <v>4.0045714174843511E-3</v>
      </c>
      <c r="H13" s="98">
        <f>'Income Statement (USD 1''000)'!H13/'Income Statement (USD 1''000)'!H$8</f>
        <v>1.283481795342014E-2</v>
      </c>
      <c r="I13" s="1" t="s">
        <v>1</v>
      </c>
      <c r="J13" s="1" t="s">
        <v>1</v>
      </c>
      <c r="L13" s="3"/>
      <c r="M13" s="1" t="s">
        <v>1</v>
      </c>
    </row>
    <row r="14" spans="2:13" x14ac:dyDescent="0.25">
      <c r="B14" s="83" t="s">
        <v>10</v>
      </c>
      <c r="C14" s="99">
        <f>'Income Statement (USD 1''000)'!C14/'Income Statement (USD 1''000)'!C$8</f>
        <v>0.84036385764861243</v>
      </c>
      <c r="D14" s="99">
        <f>'Income Statement (USD 1''000)'!D14/'Income Statement (USD 1''000)'!D$8</f>
        <v>0.82649814464835802</v>
      </c>
      <c r="E14" s="99">
        <f>'Income Statement (USD 1''000)'!E14/'Income Statement (USD 1''000)'!E$8</f>
        <v>0.83276552424561867</v>
      </c>
      <c r="F14" s="99">
        <f>'Income Statement (USD 1''000)'!F14/'Income Statement (USD 1''000)'!F$8</f>
        <v>0.81275731768428527</v>
      </c>
      <c r="G14" s="99">
        <f>'Income Statement (USD 1''000)'!G14/'Income Statement (USD 1''000)'!G$8</f>
        <v>0.81240844499585541</v>
      </c>
      <c r="H14" s="99">
        <f>'Income Statement (USD 1''000)'!H14/'Income Statement (USD 1''000)'!H$8</f>
        <v>0.85950838718516409</v>
      </c>
      <c r="I14" s="1" t="s">
        <v>1</v>
      </c>
      <c r="J14" s="1" t="s">
        <v>1</v>
      </c>
      <c r="L14" s="3"/>
      <c r="M14" s="1" t="s">
        <v>1</v>
      </c>
    </row>
    <row r="15" spans="2:13" x14ac:dyDescent="0.25">
      <c r="B15" s="83" t="s">
        <v>11</v>
      </c>
      <c r="C15" s="100">
        <f>'Income Statement (USD 1''000)'!C15/'Income Statement (USD 1''000)'!C$8</f>
        <v>0.15963614235138757</v>
      </c>
      <c r="D15" s="100">
        <f>'Income Statement (USD 1''000)'!D15/'Income Statement (USD 1''000)'!D$8</f>
        <v>0.17350185535164192</v>
      </c>
      <c r="E15" s="100">
        <f>'Income Statement (USD 1''000)'!E15/'Income Statement (USD 1''000)'!E$8</f>
        <v>0.16723447575438138</v>
      </c>
      <c r="F15" s="100">
        <f>'Income Statement (USD 1''000)'!F15/'Income Statement (USD 1''000)'!F$8</f>
        <v>0.18724268231571467</v>
      </c>
      <c r="G15" s="100">
        <f>'Income Statement (USD 1''000)'!G15/'Income Statement (USD 1''000)'!G$8</f>
        <v>0.18759155500414457</v>
      </c>
      <c r="H15" s="100">
        <f>'Income Statement (USD 1''000)'!H15/'Income Statement (USD 1''000)'!H$8</f>
        <v>0.14049161281483588</v>
      </c>
      <c r="I15" s="1" t="s">
        <v>1</v>
      </c>
      <c r="J15" s="1" t="s">
        <v>1</v>
      </c>
      <c r="L15" s="3"/>
      <c r="M15" s="1" t="s">
        <v>1</v>
      </c>
    </row>
    <row r="16" spans="2:13" x14ac:dyDescent="0.25">
      <c r="B16" s="80" t="s">
        <v>12</v>
      </c>
      <c r="C16" s="98">
        <f>'Income Statement (USD 1''000)'!C16/'Income Statement (USD 1''000)'!C$8</f>
        <v>1.7004734078186087E-2</v>
      </c>
      <c r="D16" s="98">
        <f>'Income Statement (USD 1''000)'!D16/'Income Statement (USD 1''000)'!D$8</f>
        <v>1.5159712853005235E-2</v>
      </c>
      <c r="E16" s="98">
        <f>'Income Statement (USD 1''000)'!E16/'Income Statement (USD 1''000)'!E$8</f>
        <v>1.4383710912831121E-2</v>
      </c>
      <c r="F16" s="98">
        <f>'Income Statement (USD 1''000)'!F16/'Income Statement (USD 1''000)'!F$8</f>
        <v>1.2364262975542252E-2</v>
      </c>
      <c r="G16" s="98">
        <f>'Income Statement (USD 1''000)'!G16/'Income Statement (USD 1''000)'!G$8</f>
        <v>1.125500015629699E-2</v>
      </c>
      <c r="H16" s="98">
        <f>'Income Statement (USD 1''000)'!H16/'Income Statement (USD 1''000)'!H$8</f>
        <v>1.431952829343194E-2</v>
      </c>
      <c r="I16" s="1" t="s">
        <v>1</v>
      </c>
      <c r="J16" s="1" t="s">
        <v>1</v>
      </c>
      <c r="L16" s="3"/>
      <c r="M16" s="1" t="s">
        <v>1</v>
      </c>
    </row>
    <row r="17" spans="2:13" x14ac:dyDescent="0.25">
      <c r="B17" s="80" t="s">
        <v>13</v>
      </c>
      <c r="C17" s="98">
        <f>'Income Statement (USD 1''000)'!C17/'Income Statement (USD 1''000)'!C$8</f>
        <v>0</v>
      </c>
      <c r="D17" s="98">
        <f>'Income Statement (USD 1''000)'!D17/'Income Statement (USD 1''000)'!D$8</f>
        <v>0</v>
      </c>
      <c r="E17" s="98">
        <f>'Income Statement (USD 1''000)'!E17/'Income Statement (USD 1''000)'!E$8</f>
        <v>0</v>
      </c>
      <c r="F17" s="98">
        <f>'Income Statement (USD 1''000)'!F17/'Income Statement (USD 1''000)'!F$8</f>
        <v>-2.2725749323510139E-4</v>
      </c>
      <c r="G17" s="98">
        <f>'Income Statement (USD 1''000)'!G17/'Income Statement (USD 1''000)'!G$8</f>
        <v>3.6190837547064257E-4</v>
      </c>
      <c r="H17" s="98">
        <f>'Income Statement (USD 1''000)'!H17/'Income Statement (USD 1''000)'!H$8</f>
        <v>4.0802119939468981E-3</v>
      </c>
      <c r="I17" s="1" t="s">
        <v>1</v>
      </c>
      <c r="J17" s="1" t="s">
        <v>1</v>
      </c>
      <c r="L17" s="3"/>
      <c r="M17" s="4" t="s">
        <v>1</v>
      </c>
    </row>
    <row r="18" spans="2:13" x14ac:dyDescent="0.25">
      <c r="B18" s="83" t="s">
        <v>14</v>
      </c>
      <c r="C18" s="100">
        <f>'Income Statement (USD 1''000)'!C18/'Income Statement (USD 1''000)'!C$8</f>
        <v>0.14263140827320148</v>
      </c>
      <c r="D18" s="100">
        <f>'Income Statement (USD 1''000)'!D18/'Income Statement (USD 1''000)'!D$8</f>
        <v>0.15834214249863668</v>
      </c>
      <c r="E18" s="100">
        <f>'Income Statement (USD 1''000)'!E18/'Income Statement (USD 1''000)'!E$8</f>
        <v>0.15285076484155027</v>
      </c>
      <c r="F18" s="100">
        <f>'Income Statement (USD 1''000)'!F18/'Income Statement (USD 1''000)'!F$8</f>
        <v>0.17510567683340753</v>
      </c>
      <c r="G18" s="100">
        <f>'Income Statement (USD 1''000)'!G18/'Income Statement (USD 1''000)'!G$8</f>
        <v>0.17597464647237693</v>
      </c>
      <c r="H18" s="100">
        <f>'Income Statement (USD 1''000)'!H18/'Income Statement (USD 1''000)'!H$8</f>
        <v>0.12209187252745705</v>
      </c>
      <c r="I18" s="1" t="s">
        <v>1</v>
      </c>
      <c r="J18" s="1" t="s">
        <v>1</v>
      </c>
      <c r="L18" s="3"/>
      <c r="M18" s="1" t="s">
        <v>1</v>
      </c>
    </row>
    <row r="19" spans="2:13" s="61" customFormat="1" ht="12.75" x14ac:dyDescent="0.2">
      <c r="B19" s="80" t="s">
        <v>15</v>
      </c>
      <c r="C19" s="98">
        <f>'Income Statement (USD 1''000)'!C19/'Income Statement (USD 1''000)'!C$8</f>
        <v>5.2735765363800341E-2</v>
      </c>
      <c r="D19" s="98">
        <f>'Income Statement (USD 1''000)'!D19/'Income Statement (USD 1''000)'!D$8</f>
        <v>5.4907850758816129E-2</v>
      </c>
      <c r="E19" s="98">
        <f>'Income Statement (USD 1''000)'!E19/'Income Statement (USD 1''000)'!E$8</f>
        <v>5.3376663016393718E-2</v>
      </c>
      <c r="F19" s="98">
        <f>'Income Statement (USD 1''000)'!F19/'Income Statement (USD 1''000)'!F$8</f>
        <v>6.0291664841656524E-2</v>
      </c>
      <c r="G19" s="98">
        <f>'Income Statement (USD 1''000)'!G19/'Income Statement (USD 1''000)'!G$8</f>
        <v>6.18627529181726E-2</v>
      </c>
      <c r="H19" s="98">
        <f>'Income Statement (USD 1''000)'!H19/'Income Statement (USD 1''000)'!H$8</f>
        <v>5.2648665304023783E-2</v>
      </c>
      <c r="I19" s="1" t="s">
        <v>1</v>
      </c>
      <c r="J19" s="1" t="s">
        <v>1</v>
      </c>
      <c r="L19" s="3"/>
      <c r="M19" s="1" t="s">
        <v>1</v>
      </c>
    </row>
    <row r="20" spans="2:13" s="5" customFormat="1" ht="13.5" x14ac:dyDescent="0.25">
      <c r="B20" s="83" t="s">
        <v>16</v>
      </c>
      <c r="C20" s="100">
        <f>'Income Statement (USD 1''000)'!C20/'Income Statement (USD 1''000)'!C$8</f>
        <v>8.9895642909401136E-2</v>
      </c>
      <c r="D20" s="100">
        <f>'Income Statement (USD 1''000)'!D20/'Income Statement (USD 1''000)'!D$8</f>
        <v>0.10343429173982056</v>
      </c>
      <c r="E20" s="100">
        <f>'Income Statement (USD 1''000)'!E20/'Income Statement (USD 1''000)'!E$8</f>
        <v>9.9474101825156536E-2</v>
      </c>
      <c r="F20" s="100">
        <f>'Income Statement (USD 1''000)'!F20/'Income Statement (USD 1''000)'!F$8</f>
        <v>0.11481401199175099</v>
      </c>
      <c r="G20" s="100">
        <f>'Income Statement (USD 1''000)'!G20/'Income Statement (USD 1''000)'!G$8</f>
        <v>0.11411189355420434</v>
      </c>
      <c r="H20" s="100">
        <f>'Income Statement (USD 1''000)'!H20/'Income Statement (USD 1''000)'!H$8</f>
        <v>6.9443207223433265E-2</v>
      </c>
      <c r="I20" s="6" t="s">
        <v>1</v>
      </c>
      <c r="J20" s="6" t="s">
        <v>1</v>
      </c>
      <c r="L20" s="7"/>
      <c r="M20" s="6" t="s">
        <v>1</v>
      </c>
    </row>
  </sheetData>
  <pageMargins left="0.7" right="0.7" top="0.75" bottom="0.75" header="0.3" footer="0.3"/>
  <pageSetup paperSize="9" scale="9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25"/>
  <sheetViews>
    <sheetView topLeftCell="A63" zoomScale="70" zoomScaleNormal="70" zoomScalePageLayoutView="70" workbookViewId="0">
      <selection activeCell="F70" sqref="F70"/>
    </sheetView>
  </sheetViews>
  <sheetFormatPr defaultColWidth="12.140625" defaultRowHeight="15.75" x14ac:dyDescent="0.25"/>
  <cols>
    <col min="1" max="1" width="12.140625" style="28"/>
    <col min="2" max="2" width="31.85546875" style="28" customWidth="1"/>
    <col min="3" max="7" width="29.140625" style="28" customWidth="1"/>
    <col min="8" max="16384" width="12.140625" style="28"/>
  </cols>
  <sheetData>
    <row r="2" spans="2:7" x14ac:dyDescent="0.25">
      <c r="B2" s="32" t="s">
        <v>114</v>
      </c>
    </row>
    <row r="4" spans="2:7" ht="15.95" x14ac:dyDescent="0.2">
      <c r="B4" s="101" t="s">
        <v>62</v>
      </c>
      <c r="C4" s="102"/>
      <c r="D4" s="102"/>
      <c r="E4" s="102"/>
      <c r="F4" s="102"/>
      <c r="G4" s="103"/>
    </row>
    <row r="6" spans="2:7" ht="15.95" x14ac:dyDescent="0.2">
      <c r="B6" s="29"/>
      <c r="C6" s="30">
        <v>2011</v>
      </c>
      <c r="D6" s="30">
        <v>2012</v>
      </c>
      <c r="E6" s="30">
        <v>2013</v>
      </c>
      <c r="F6" s="30">
        <v>2014</v>
      </c>
      <c r="G6" s="30">
        <v>2015</v>
      </c>
    </row>
    <row r="7" spans="2:7" ht="15.95" x14ac:dyDescent="0.2">
      <c r="B7" s="28" t="s">
        <v>55</v>
      </c>
      <c r="C7" s="31">
        <f>'Balance Sheet (USD)'!D12/'Balance Sheet (USD)'!D26</f>
        <v>1.7435692530510531</v>
      </c>
      <c r="D7" s="31">
        <f>'Balance Sheet (USD)'!E12/'Balance Sheet (USD)'!E26</f>
        <v>1.4366600730060974</v>
      </c>
      <c r="E7" s="31">
        <f>'Balance Sheet (USD)'!F12/'Balance Sheet (USD)'!F26</f>
        <v>1.7665448409186788</v>
      </c>
      <c r="F7" s="31">
        <f>'Balance Sheet (USD)'!G12/'Balance Sheet (USD)'!G26</f>
        <v>1.1608764407973149</v>
      </c>
      <c r="G7" s="31">
        <f>'Balance Sheet (USD)'!H12/'Balance Sheet (USD)'!H26</f>
        <v>0.83348572891981287</v>
      </c>
    </row>
    <row r="8" spans="2:7" ht="15.95" x14ac:dyDescent="0.2">
      <c r="B8" s="28" t="s">
        <v>54</v>
      </c>
      <c r="C8" s="31">
        <f>('Balance Sheet (USD)'!D6+'Balance Sheet (USD)'!D8)/'Balance Sheet (USD)'!D26</f>
        <v>0.93134118549125688</v>
      </c>
      <c r="D8" s="31">
        <f>('Balance Sheet (USD)'!E6+'Balance Sheet (USD)'!E8)/'Balance Sheet (USD)'!E26</f>
        <v>0.80867848087498551</v>
      </c>
      <c r="E8" s="31">
        <f>('Balance Sheet (USD)'!F6+'Balance Sheet (USD)'!F8)/'Balance Sheet (USD)'!F26</f>
        <v>1.1338033070506</v>
      </c>
      <c r="F8" s="31">
        <f>('Balance Sheet (USD)'!G6+'Balance Sheet (USD)'!G8)/'Balance Sheet (USD)'!G26</f>
        <v>0.50205125211363433</v>
      </c>
      <c r="G8" s="31">
        <f>('Balance Sheet (USD)'!H6+'Balance Sheet (USD)'!H8)/'Balance Sheet (USD)'!H26</f>
        <v>0.4263478442787631</v>
      </c>
    </row>
    <row r="9" spans="2:7" ht="15.95" x14ac:dyDescent="0.2">
      <c r="B9" s="28" t="s">
        <v>53</v>
      </c>
      <c r="C9" s="31">
        <f>'Balance Sheet (USD)'!D6/'Balance Sheet (USD)'!D26</f>
        <v>0.59098719942067257</v>
      </c>
      <c r="D9" s="31">
        <f>'Balance Sheet (USD)'!E6/'Balance Sheet (USD)'!E26</f>
        <v>0.49504931650250489</v>
      </c>
      <c r="E9" s="31">
        <f>'Balance Sheet (USD)'!F6/'Balance Sheet (USD)'!F26</f>
        <v>0.79438247413747798</v>
      </c>
      <c r="F9" s="31">
        <f>'Balance Sheet (USD)'!G6/'Balance Sheet (USD)'!G26</f>
        <v>0.19365824450429237</v>
      </c>
      <c r="G9" s="31">
        <f>'Balance Sheet (USD)'!H6/'Balance Sheet (USD)'!H26</f>
        <v>0.15624109522830482</v>
      </c>
    </row>
    <row r="11" spans="2:7" ht="309" customHeight="1" x14ac:dyDescent="0.2"/>
    <row r="13" spans="2:7" ht="15.95" x14ac:dyDescent="0.2">
      <c r="B13" s="101" t="s">
        <v>63</v>
      </c>
      <c r="C13" s="102"/>
      <c r="D13" s="102"/>
      <c r="E13" s="102"/>
      <c r="F13" s="102"/>
      <c r="G13" s="103"/>
    </row>
    <row r="15" spans="2:7" ht="15.95" x14ac:dyDescent="0.2">
      <c r="B15" s="29"/>
      <c r="C15" s="30">
        <v>2011</v>
      </c>
      <c r="D15" s="30">
        <v>2012</v>
      </c>
      <c r="E15" s="30">
        <v>2013</v>
      </c>
      <c r="F15" s="30">
        <v>2014</v>
      </c>
      <c r="G15" s="30">
        <v>2015</v>
      </c>
    </row>
    <row r="16" spans="2:7" ht="15.95" x14ac:dyDescent="0.2">
      <c r="B16" s="32" t="s">
        <v>64</v>
      </c>
      <c r="C16" s="32"/>
      <c r="D16" s="32"/>
      <c r="E16" s="32"/>
    </row>
    <row r="17" spans="1:7" ht="15.95" x14ac:dyDescent="0.2">
      <c r="B17" s="28" t="s">
        <v>65</v>
      </c>
      <c r="C17" s="31">
        <f>'Income Statement (USD 1''000)'!D8/AVERAGE('Balance Sheet (USD)'!C8:D8)</f>
        <v>15.402978874309742</v>
      </c>
      <c r="D17" s="31">
        <f>'Income Statement (USD 1''000)'!E8/AVERAGE('Balance Sheet (USD)'!D8:E8)</f>
        <v>15.435918046840333</v>
      </c>
      <c r="E17" s="31">
        <f>'Income Statement (USD 1''000)'!F8/AVERAGE('Balance Sheet (USD)'!E8:F8)</f>
        <v>15.215835280715856</v>
      </c>
      <c r="F17" s="31">
        <f>'Income Statement (USD 1''000)'!G8/AVERAGE('Balance Sheet (USD)'!F8:G8)</f>
        <v>13.809841727047072</v>
      </c>
      <c r="G17" s="31">
        <f>'Income Statement (USD 1''000)'!H8/AVERAGE('Balance Sheet (USD)'!G8:H8)</f>
        <v>12.3520831295312</v>
      </c>
    </row>
    <row r="18" spans="1:7" ht="15.95" x14ac:dyDescent="0.2">
      <c r="A18" s="28" t="s">
        <v>56</v>
      </c>
      <c r="B18" s="28" t="s">
        <v>66</v>
      </c>
      <c r="C18" s="31">
        <f>'Income Statement (USD 1''000)'!D10/AVERAGE('Balance Sheet (USD)'!C21:D21)</f>
        <v>8.5446385576978638</v>
      </c>
      <c r="D18" s="31">
        <f>'Income Statement (USD 1''000)'!E10/AVERAGE('Balance Sheet (USD)'!D21:E21)</f>
        <v>8.7805019524497858</v>
      </c>
      <c r="E18" s="31">
        <f>'Income Statement (USD 1''000)'!F10/AVERAGE('Balance Sheet (USD)'!E21:F21)</f>
        <v>8.5562136202795607</v>
      </c>
      <c r="F18" s="31">
        <f>'Income Statement (USD 1''000)'!G10/AVERAGE('Balance Sheet (USD)'!F21:G21)</f>
        <v>8.6602390382509959</v>
      </c>
      <c r="G18" s="31">
        <f>'Income Statement (USD 1''000)'!H10/AVERAGE('Balance Sheet (USD)'!G21:H21)</f>
        <v>8.3739876166364979</v>
      </c>
    </row>
    <row r="19" spans="1:7" ht="15.95" x14ac:dyDescent="0.2">
      <c r="B19" s="28" t="s">
        <v>67</v>
      </c>
      <c r="C19" s="31">
        <f>'Income Statement (USD 1''000)'!D10/AVERAGE('Balance Sheet (USD)'!C9:D9)</f>
        <v>6.0019804240745831</v>
      </c>
      <c r="D19" s="31">
        <f>'Income Statement (USD 1''000)'!E10/AVERAGE('Balance Sheet (USD)'!D9:E9)</f>
        <v>5.9028634043432655</v>
      </c>
      <c r="E19" s="31">
        <f>'Income Statement (USD 1''000)'!F10/AVERAGE('Balance Sheet (USD)'!E9:F9)</f>
        <v>5.9796132898825265</v>
      </c>
      <c r="F19" s="31">
        <f>'Income Statement (USD 1''000)'!G10/AVERAGE('Balance Sheet (USD)'!F9:G9)</f>
        <v>5.5945040898220357</v>
      </c>
      <c r="G19" s="31">
        <f>'Income Statement (USD 1''000)'!H10/AVERAGE('Balance Sheet (USD)'!G9:H9)</f>
        <v>5.1597107227678247</v>
      </c>
    </row>
    <row r="20" spans="1:7" ht="15.95" x14ac:dyDescent="0.2">
      <c r="F20" s="31"/>
      <c r="G20" s="31"/>
    </row>
    <row r="21" spans="1:7" ht="15.95" x14ac:dyDescent="0.2">
      <c r="B21" s="33" t="s">
        <v>68</v>
      </c>
      <c r="C21" s="31">
        <f>'Income Statement (USD 1''000)'!D8/AVERAGE('Balance Sheet (USD)'!C18:D18)</f>
        <v>1.4003077284091261</v>
      </c>
      <c r="D21" s="31">
        <f>'Income Statement (USD 1''000)'!E8/AVERAGE('Balance Sheet (USD)'!D18:E18)</f>
        <v>1.4495962599915044</v>
      </c>
      <c r="E21" s="31">
        <f>'Income Statement (USD 1''000)'!F8/AVERAGE('Balance Sheet (USD)'!E18:F18)</f>
        <v>1.4133401738294262</v>
      </c>
      <c r="F21" s="31">
        <f>'Income Statement (USD 1''000)'!G8/AVERAGE('Balance Sheet (USD)'!F18:G18)</f>
        <v>1.3518262337166056</v>
      </c>
      <c r="G21" s="31">
        <f>'Income Statement (USD 1''000)'!H8/AVERAGE('Balance Sheet (USD)'!G18:H18)</f>
        <v>1.347034500290456</v>
      </c>
    </row>
    <row r="22" spans="1:7" ht="15.95" x14ac:dyDescent="0.2">
      <c r="B22" s="34"/>
      <c r="C22" s="34"/>
      <c r="D22" s="34"/>
      <c r="E22" s="34"/>
      <c r="F22" s="36"/>
      <c r="G22" s="36"/>
    </row>
    <row r="24" spans="1:7" ht="15.95" x14ac:dyDescent="0.2">
      <c r="B24" s="32" t="s">
        <v>112</v>
      </c>
      <c r="C24" s="32"/>
      <c r="D24" s="32"/>
      <c r="E24" s="32"/>
    </row>
    <row r="25" spans="1:7" ht="15.95" x14ac:dyDescent="0.2">
      <c r="B25" s="28" t="s">
        <v>69</v>
      </c>
      <c r="C25" s="37">
        <f t="shared" ref="C25:F25" si="0">365/C17</f>
        <v>23.696714965231479</v>
      </c>
      <c r="D25" s="37">
        <f t="shared" si="0"/>
        <v>23.64614782822807</v>
      </c>
      <c r="E25" s="37">
        <f t="shared" si="0"/>
        <v>23.988167147326529</v>
      </c>
      <c r="F25" s="37">
        <f t="shared" si="0"/>
        <v>26.430426011699641</v>
      </c>
      <c r="G25" s="37">
        <f>365/G17</f>
        <v>29.549671595664922</v>
      </c>
    </row>
    <row r="26" spans="1:7" ht="15.95" x14ac:dyDescent="0.2">
      <c r="B26" s="28" t="s">
        <v>71</v>
      </c>
      <c r="C26" s="37">
        <f t="shared" ref="C26:F26" si="1">365/C18</f>
        <v>42.716844900498636</v>
      </c>
      <c r="D26" s="37">
        <f t="shared" si="1"/>
        <v>41.569377465734057</v>
      </c>
      <c r="E26" s="37">
        <f t="shared" si="1"/>
        <v>42.659056470363602</v>
      </c>
      <c r="F26" s="37">
        <f t="shared" si="1"/>
        <v>42.14664264899028</v>
      </c>
      <c r="G26" s="37">
        <f>365/G18</f>
        <v>43.587358461679479</v>
      </c>
    </row>
    <row r="27" spans="1:7" ht="15.95" x14ac:dyDescent="0.2">
      <c r="B27" s="28" t="s">
        <v>70</v>
      </c>
      <c r="C27" s="37">
        <f t="shared" ref="C27:F27" si="2">365/C19</f>
        <v>60.813260659089472</v>
      </c>
      <c r="D27" s="37">
        <f t="shared" si="2"/>
        <v>61.834397138757573</v>
      </c>
      <c r="E27" s="37">
        <f t="shared" si="2"/>
        <v>61.0407366338519</v>
      </c>
      <c r="F27" s="37">
        <f t="shared" si="2"/>
        <v>65.242601335127603</v>
      </c>
      <c r="G27" s="37">
        <f>365/G19</f>
        <v>70.740399919979041</v>
      </c>
    </row>
    <row r="28" spans="1:7" s="32" customFormat="1" ht="15.95" x14ac:dyDescent="0.2">
      <c r="B28" s="38" t="s">
        <v>113</v>
      </c>
      <c r="C28" s="70">
        <f>C25+C27-C26</f>
        <v>41.793130723822323</v>
      </c>
      <c r="D28" s="70">
        <f t="shared" ref="D28:G28" si="3">D25+D27-D26</f>
        <v>43.91116750125159</v>
      </c>
      <c r="E28" s="70">
        <f t="shared" si="3"/>
        <v>42.369847310814826</v>
      </c>
      <c r="F28" s="70">
        <f t="shared" si="3"/>
        <v>49.52638469783696</v>
      </c>
      <c r="G28" s="70">
        <f t="shared" si="3"/>
        <v>56.70271305396448</v>
      </c>
    </row>
    <row r="30" spans="1:7" ht="303.95" customHeight="1" x14ac:dyDescent="0.25"/>
    <row r="32" spans="1:7" x14ac:dyDescent="0.25">
      <c r="B32" s="101" t="s">
        <v>72</v>
      </c>
      <c r="C32" s="102"/>
      <c r="D32" s="102"/>
      <c r="E32" s="102"/>
      <c r="F32" s="102"/>
      <c r="G32" s="103"/>
    </row>
    <row r="34" spans="2:7" x14ac:dyDescent="0.25">
      <c r="B34" s="38"/>
      <c r="C34" s="30">
        <v>2011</v>
      </c>
      <c r="D34" s="30">
        <v>2012</v>
      </c>
      <c r="E34" s="30">
        <v>2013</v>
      </c>
      <c r="F34" s="30">
        <v>2014</v>
      </c>
      <c r="G34" s="30">
        <v>2015</v>
      </c>
    </row>
    <row r="35" spans="2:7" x14ac:dyDescent="0.25">
      <c r="B35" s="64" t="s">
        <v>82</v>
      </c>
      <c r="C35" s="65"/>
      <c r="D35" s="65"/>
      <c r="E35" s="65"/>
      <c r="F35" s="65"/>
      <c r="G35" s="65"/>
    </row>
    <row r="36" spans="2:7" x14ac:dyDescent="0.25">
      <c r="B36" s="28" t="s">
        <v>83</v>
      </c>
      <c r="C36" s="39">
        <f>'Balance Sheet (USD)'!D30/'Balance Sheet (USD)'!D41</f>
        <v>0.80221925620308598</v>
      </c>
      <c r="D36" s="39">
        <f>'Balance Sheet (USD)'!E30/'Balance Sheet (USD)'!E41</f>
        <v>0.77951451142720074</v>
      </c>
      <c r="E36" s="39">
        <f>'Balance Sheet (USD)'!F30/'Balance Sheet (USD)'!F41</f>
        <v>0.69835639389206283</v>
      </c>
      <c r="F36" s="39">
        <f>'Balance Sheet (USD)'!G30/'Balance Sheet (USD)'!G41</f>
        <v>0.72975900207545252</v>
      </c>
      <c r="G36" s="39">
        <f>'Balance Sheet (USD)'!H30/'Balance Sheet (USD)'!H41</f>
        <v>0.80400649580652239</v>
      </c>
    </row>
    <row r="37" spans="2:7" x14ac:dyDescent="0.25">
      <c r="B37" s="28" t="s">
        <v>84</v>
      </c>
      <c r="C37" s="39">
        <f>('Balance Sheet (USD)'!D24+'Balance Sheet (USD)'!D25+'Balance Sheet (USD)'!D27)/('Balance Sheet (USD)'!D24+'Balance Sheet (USD)'!D25+'Balance Sheet (USD)'!D27+'Balance Sheet (USD)'!D40)</f>
        <v>0.68391721158307617</v>
      </c>
      <c r="D37" s="39">
        <f>('Balance Sheet (USD)'!E24+'Balance Sheet (USD)'!E25+'Balance Sheet (USD)'!E27)/('Balance Sheet (USD)'!E24+'Balance Sheet (USD)'!E25+'Balance Sheet (USD)'!E27+'Balance Sheet (USD)'!E40)</f>
        <v>0.64524921512243683</v>
      </c>
      <c r="E37" s="39">
        <f>('Balance Sheet (USD)'!F24+'Balance Sheet (USD)'!F25+'Balance Sheet (USD)'!F27)/('Balance Sheet (USD)'!F24+'Balance Sheet (USD)'!F25+'Balance Sheet (USD)'!F27+'Balance Sheet (USD)'!F40)</f>
        <v>0.5483452107826875</v>
      </c>
      <c r="F37" s="39">
        <f>('Balance Sheet (USD)'!G24+'Balance Sheet (USD)'!G25+'Balance Sheet (USD)'!G27)/('Balance Sheet (USD)'!G24+'Balance Sheet (USD)'!G25+'Balance Sheet (USD)'!G27+'Balance Sheet (USD)'!G40)</f>
        <v>0.58902164470317642</v>
      </c>
      <c r="G37" s="39">
        <f>('Balance Sheet (USD)'!H24+'Balance Sheet (USD)'!H25+'Balance Sheet (USD)'!H27)/('Balance Sheet (USD)'!H24+'Balance Sheet (USD)'!H25+'Balance Sheet (USD)'!H27+'Balance Sheet (USD)'!H40)</f>
        <v>0.69796270980098263</v>
      </c>
    </row>
    <row r="38" spans="2:7" x14ac:dyDescent="0.25">
      <c r="F38" s="39"/>
      <c r="G38" s="39"/>
    </row>
    <row r="39" spans="2:7" x14ac:dyDescent="0.25">
      <c r="B39" s="28" t="s">
        <v>85</v>
      </c>
      <c r="C39" s="62">
        <f t="shared" ref="C39:G40" si="4">C36/(1-C36)</f>
        <v>4.0561039502754817</v>
      </c>
      <c r="D39" s="62">
        <f t="shared" si="4"/>
        <v>3.5354458766107091</v>
      </c>
      <c r="E39" s="62">
        <f t="shared" si="4"/>
        <v>2.3151705514426513</v>
      </c>
      <c r="F39" s="62">
        <f t="shared" si="4"/>
        <v>2.7004007818206941</v>
      </c>
      <c r="G39" s="62">
        <f t="shared" si="4"/>
        <v>4.1022099131042458</v>
      </c>
    </row>
    <row r="40" spans="2:7" x14ac:dyDescent="0.25">
      <c r="B40" s="28" t="s">
        <v>86</v>
      </c>
      <c r="C40" s="62">
        <f t="shared" si="4"/>
        <v>2.1637281011358529</v>
      </c>
      <c r="D40" s="62">
        <f t="shared" si="4"/>
        <v>1.8188803030982292</v>
      </c>
      <c r="E40" s="62">
        <f t="shared" si="4"/>
        <v>1.2140803637506712</v>
      </c>
      <c r="F40" s="62">
        <f t="shared" si="4"/>
        <v>1.4332181661434784</v>
      </c>
      <c r="G40" s="62">
        <f t="shared" si="4"/>
        <v>2.3108494627967411</v>
      </c>
    </row>
    <row r="41" spans="2:7" x14ac:dyDescent="0.25">
      <c r="F41" s="39"/>
      <c r="G41" s="39"/>
    </row>
    <row r="42" spans="2:7" x14ac:dyDescent="0.25">
      <c r="B42" s="64" t="s">
        <v>87</v>
      </c>
      <c r="F42" s="39"/>
      <c r="G42" s="39"/>
    </row>
    <row r="43" spans="2:7" x14ac:dyDescent="0.25">
      <c r="B43" s="28" t="s">
        <v>83</v>
      </c>
      <c r="C43" s="39">
        <f>('Balance Sheet (USD)'!D30)/('Balance Sheet (USD)'!D41-'Balance Sheet (USD)'!D40+'Balance Sheet (USD)'!D44)</f>
        <v>0.20284481818472005</v>
      </c>
      <c r="D43" s="39">
        <f>('Balance Sheet (USD)'!E30)/('Balance Sheet (USD)'!E41-'Balance Sheet (USD)'!E40+'Balance Sheet (USD)'!E44)</f>
        <v>0.18713414094165007</v>
      </c>
      <c r="E43" s="39">
        <f>('Balance Sheet (USD)'!F30)/('Balance Sheet (USD)'!F41-'Balance Sheet (USD)'!F40+'Balance Sheet (USD)'!F44)</f>
        <v>0.14781603066692858</v>
      </c>
      <c r="F43" s="39">
        <f>('Balance Sheet (USD)'!G30)/('Balance Sheet (USD)'!G41-'Balance Sheet (USD)'!G40+'Balance Sheet (USD)'!G44)</f>
        <v>0.14865374987229807</v>
      </c>
      <c r="G43" s="39">
        <f>('Balance Sheet (USD)'!H30)/('Balance Sheet (USD)'!H41-'Balance Sheet (USD)'!H40+'Balance Sheet (USD)'!H44)</f>
        <v>0.18132782634224573</v>
      </c>
    </row>
    <row r="44" spans="2:7" x14ac:dyDescent="0.25">
      <c r="B44" s="28" t="s">
        <v>84</v>
      </c>
      <c r="C44" s="39">
        <f>('Balance Sheet (USD)'!D24+'Balance Sheet (USD)'!D25+'Balance Sheet (USD)'!D27)/('Balance Sheet (USD)'!D24+'Balance Sheet (USD)'!D25+'Balance Sheet (USD)'!D27+'Balance Sheet (USD)'!D44)</f>
        <v>0.11951844051840678</v>
      </c>
      <c r="D44" s="39">
        <f>('Balance Sheet (USD)'!E24+'Balance Sheet (USD)'!E25+'Balance Sheet (USD)'!E27)/('Balance Sheet (USD)'!E24+'Balance Sheet (USD)'!E25+'Balance Sheet (USD)'!E27+'Balance Sheet (USD)'!E44)</f>
        <v>0.10589655667435725</v>
      </c>
      <c r="E44" s="39">
        <f>('Balance Sheet (USD)'!F24+'Balance Sheet (USD)'!F25+'Balance Sheet (USD)'!F27)/('Balance Sheet (USD)'!F24+'Balance Sheet (USD)'!F25+'Balance Sheet (USD)'!F27+'Balance Sheet (USD)'!F44)</f>
        <v>8.3376490846492249E-2</v>
      </c>
      <c r="F44" s="39">
        <f>('Balance Sheet (USD)'!G24+'Balance Sheet (USD)'!G25+'Balance Sheet (USD)'!G27)/('Balance Sheet (USD)'!G24+'Balance Sheet (USD)'!G25+'Balance Sheet (USD)'!G27+'Balance Sheet (USD)'!G44)</f>
        <v>8.481320336486535E-2</v>
      </c>
      <c r="G44" s="39">
        <f>('Balance Sheet (USD)'!H24+'Balance Sheet (USD)'!H25+'Balance Sheet (USD)'!H27)/('Balance Sheet (USD)'!H24+'Balance Sheet (USD)'!H25+'Balance Sheet (USD)'!H27+'Balance Sheet (USD)'!H44)</f>
        <v>0.11092889736347798</v>
      </c>
    </row>
    <row r="45" spans="2:7" x14ac:dyDescent="0.25">
      <c r="F45" s="39"/>
      <c r="G45" s="39"/>
    </row>
    <row r="46" spans="2:7" x14ac:dyDescent="0.25">
      <c r="B46" s="28" t="s">
        <v>85</v>
      </c>
      <c r="C46" s="62">
        <f t="shared" ref="C46:G47" si="5">C43/(1-C43)</f>
        <v>0.25446089144500356</v>
      </c>
      <c r="D46" s="62">
        <f t="shared" si="5"/>
        <v>0.23021527950310558</v>
      </c>
      <c r="E46" s="62">
        <f t="shared" si="5"/>
        <v>0.17345554010199352</v>
      </c>
      <c r="F46" s="62">
        <f t="shared" si="5"/>
        <v>0.17461021276595745</v>
      </c>
      <c r="G46" s="62">
        <f t="shared" si="5"/>
        <v>0.22149015463917526</v>
      </c>
    </row>
    <row r="47" spans="2:7" x14ac:dyDescent="0.25">
      <c r="B47" s="28" t="s">
        <v>86</v>
      </c>
      <c r="C47" s="62">
        <f t="shared" si="5"/>
        <v>0.13574212796549245</v>
      </c>
      <c r="D47" s="62">
        <f t="shared" si="5"/>
        <v>0.1184388198757764</v>
      </c>
      <c r="E47" s="62">
        <f t="shared" si="5"/>
        <v>9.0960454334724147E-2</v>
      </c>
      <c r="F47" s="62">
        <f t="shared" si="5"/>
        <v>9.2673106382978723E-2</v>
      </c>
      <c r="G47" s="62">
        <f t="shared" si="5"/>
        <v>0.12476943298969073</v>
      </c>
    </row>
    <row r="48" spans="2:7" x14ac:dyDescent="0.25">
      <c r="C48" s="62"/>
      <c r="D48" s="62"/>
      <c r="E48" s="62"/>
      <c r="F48" s="62"/>
      <c r="G48" s="62"/>
    </row>
    <row r="49" spans="2:7" x14ac:dyDescent="0.25">
      <c r="B49" s="32" t="s">
        <v>88</v>
      </c>
      <c r="F49" s="39"/>
      <c r="G49" s="39"/>
    </row>
    <row r="50" spans="2:7" x14ac:dyDescent="0.25">
      <c r="B50" s="28" t="s">
        <v>73</v>
      </c>
      <c r="C50" s="62">
        <f>'Income Statement (USD 1''000)'!D15/'Income Statement (USD 1''000)'!D16</f>
        <v>11.444930193202651</v>
      </c>
      <c r="D50" s="62">
        <f>'Income Statement (USD 1''000)'!E15/'Income Statement (USD 1''000)'!E16</f>
        <v>11.626657179629378</v>
      </c>
      <c r="E50" s="62">
        <f>'Income Statement (USD 1''000)'!F15/'Income Statement (USD 1''000)'!F16</f>
        <v>15.143861197881298</v>
      </c>
      <c r="F50" s="62">
        <f>'Income Statement (USD 1''000)'!G15/'Income Statement (USD 1''000)'!G16</f>
        <v>16.667396925729062</v>
      </c>
      <c r="G50" s="62">
        <f>'Income Statement (USD 1''000)'!H15/'Income Statement (USD 1''000)'!H16</f>
        <v>9.8111900012290469</v>
      </c>
    </row>
    <row r="51" spans="2:7" x14ac:dyDescent="0.25">
      <c r="B51" s="28" t="s">
        <v>74</v>
      </c>
      <c r="C51" s="62">
        <f>'Income Statement (USD 1''000)'!D27/'Income Statement (USD 1''000)'!D16</f>
        <v>13.785524445939055</v>
      </c>
      <c r="D51" s="62">
        <f>'Income Statement (USD 1''000)'!E27/'Income Statement (USD 1''000)'!E16</f>
        <v>13.824409588883425</v>
      </c>
      <c r="E51" s="62">
        <f>'Income Statement (USD 1''000)'!F27/'Income Statement (USD 1''000)'!F16</f>
        <v>17.419122640228167</v>
      </c>
      <c r="F51" s="62">
        <f>'Income Statement (USD 1''000)'!G27/'Income Statement (USD 1''000)'!G16</f>
        <v>19.390090025379497</v>
      </c>
      <c r="G51" s="62">
        <f>'Income Statement (USD 1''000)'!H27/'Income Statement (USD 1''000)'!H16</f>
        <v>14.781551057453225</v>
      </c>
    </row>
    <row r="52" spans="2:7" x14ac:dyDescent="0.25">
      <c r="F52" s="39"/>
      <c r="G52" s="39"/>
    </row>
    <row r="53" spans="2:7" x14ac:dyDescent="0.25">
      <c r="B53" s="28" t="s">
        <v>75</v>
      </c>
      <c r="C53" s="62">
        <f>('Balance Sheet (USD)'!D24+'Balance Sheet (USD)'!D25+'Balance Sheet (USD)'!D27)/'Income Statement (USD 1''000)'!D15</f>
        <v>1.7896899418783199</v>
      </c>
      <c r="D53" s="62">
        <f>('Balance Sheet (USD)'!E24+'Balance Sheet (USD)'!E25+'Balance Sheet (USD)'!E27)/'Income Statement (USD 1''000)'!E15</f>
        <v>1.7161215247653778</v>
      </c>
      <c r="E53" s="62">
        <f>('Balance Sheet (USD)'!F24+'Balance Sheet (USD)'!F25+'Balance Sheet (USD)'!F27)/'Income Statement (USD 1''000)'!F15</f>
        <v>1.4663245272414878</v>
      </c>
      <c r="F53" s="62">
        <f>('Balance Sheet (USD)'!G24+'Balance Sheet (USD)'!G25+'Balance Sheet (USD)'!G27)/'Income Statement (USD 1''000)'!G15</f>
        <v>1.5642311319501156</v>
      </c>
      <c r="G53" s="62">
        <f>('Balance Sheet (USD)'!H24+'Balance Sheet (USD)'!H25+'Balance Sheet (USD)'!H27)/'Income Statement (USD 1''000)'!H15</f>
        <v>2.3324558013951218</v>
      </c>
    </row>
    <row r="54" spans="2:7" x14ac:dyDescent="0.25">
      <c r="B54" s="28" t="s">
        <v>76</v>
      </c>
      <c r="C54" s="62">
        <f>('Balance Sheet (USD)'!D24+'Balance Sheet (USD)'!D25+'Balance Sheet (USD)'!D27)/'Income Statement (USD 1''000)'!D27</f>
        <v>1.4858249704318018</v>
      </c>
      <c r="D54" s="62">
        <f>('Balance Sheet (USD)'!E24+'Balance Sheet (USD)'!E25+'Balance Sheet (USD)'!E27)/'Income Statement (USD 1''000)'!E27</f>
        <v>1.4432990080874366</v>
      </c>
      <c r="E54" s="62">
        <f>('Balance Sheet (USD)'!F24+'Balance Sheet (USD)'!F25+'Balance Sheet (USD)'!F27)/'Income Statement (USD 1''000)'!F27</f>
        <v>1.2747952678346341</v>
      </c>
      <c r="F54" s="62">
        <f>('Balance Sheet (USD)'!G24+'Balance Sheet (USD)'!G25+'Balance Sheet (USD)'!G27)/'Income Statement (USD 1''000)'!G27</f>
        <v>1.3445869062840921</v>
      </c>
      <c r="G54" s="62">
        <f>('Balance Sheet (USD)'!H24+'Balance Sheet (USD)'!H25+'Balance Sheet (USD)'!H27)/'Income Statement (USD 1''000)'!H27</f>
        <v>1.5481573583184787</v>
      </c>
    </row>
    <row r="55" spans="2:7" x14ac:dyDescent="0.25">
      <c r="B55" s="54"/>
      <c r="C55" s="54"/>
      <c r="D55" s="54"/>
      <c r="E55" s="54"/>
      <c r="F55" s="63"/>
      <c r="G55" s="63"/>
    </row>
    <row r="56" spans="2:7" ht="300" customHeight="1" x14ac:dyDescent="0.25"/>
    <row r="57" spans="2:7" ht="296.25" customHeight="1" x14ac:dyDescent="0.25"/>
    <row r="58" spans="2:7" ht="15.75" customHeight="1" x14ac:dyDescent="0.25"/>
    <row r="59" spans="2:7" ht="15.75" customHeight="1" x14ac:dyDescent="0.25">
      <c r="B59" s="101" t="s">
        <v>118</v>
      </c>
      <c r="C59" s="102"/>
      <c r="D59" s="102"/>
      <c r="E59" s="102"/>
      <c r="F59" s="102"/>
      <c r="G59" s="103"/>
    </row>
    <row r="60" spans="2:7" ht="15.75" customHeight="1" x14ac:dyDescent="0.25"/>
    <row r="61" spans="2:7" ht="15.75" customHeight="1" x14ac:dyDescent="0.25">
      <c r="B61" s="28" t="s">
        <v>116</v>
      </c>
      <c r="C61" s="104">
        <f>'Balance Sheet (USD)'!D40</f>
        <v>872648</v>
      </c>
      <c r="D61" s="104">
        <f>'Balance Sheet (USD)'!E40</f>
        <v>1048373</v>
      </c>
      <c r="E61" s="104">
        <f>'Balance Sheet (USD)'!F40</f>
        <v>1616052</v>
      </c>
      <c r="F61" s="104">
        <f>'Balance Sheet (USD)'!G40</f>
        <v>1519530</v>
      </c>
      <c r="G61" s="104">
        <f>'Balance Sheet (USD)'!H40</f>
        <v>1047462</v>
      </c>
    </row>
    <row r="62" spans="2:7" ht="15.75" customHeight="1" x14ac:dyDescent="0.25">
      <c r="B62" s="28" t="s">
        <v>40</v>
      </c>
      <c r="C62" s="104">
        <f>'Balance Sheet (USD)'!D27</f>
        <v>1748500</v>
      </c>
      <c r="D62" s="104">
        <f>'Balance Sheet (USD)'!E27</f>
        <v>1530967</v>
      </c>
      <c r="E62" s="104">
        <f>'Balance Sheet (USD)'!F27</f>
        <v>1795142</v>
      </c>
      <c r="F62" s="104">
        <f>'Balance Sheet (USD)'!G27</f>
        <v>1542317</v>
      </c>
      <c r="G62" s="104">
        <f>'Balance Sheet (USD)'!H27</f>
        <v>1557091</v>
      </c>
    </row>
    <row r="63" spans="2:7" ht="15.75" customHeight="1" x14ac:dyDescent="0.25">
      <c r="B63" s="28" t="s">
        <v>117</v>
      </c>
      <c r="C63" s="104">
        <f>'Balance Sheet (USD)'!D18-'Balance Sheet (USD)'!D12</f>
        <v>2365641</v>
      </c>
      <c r="D63" s="104">
        <f>'Balance Sheet (USD)'!E18-'Balance Sheet (USD)'!E12</f>
        <v>2641354</v>
      </c>
      <c r="E63" s="104">
        <f>'Balance Sheet (USD)'!F18-'Balance Sheet (USD)'!F12</f>
        <v>2870154</v>
      </c>
      <c r="F63" s="104">
        <f>'Balance Sheet (USD)'!G18-'Balance Sheet (USD)'!G12</f>
        <v>3375823</v>
      </c>
      <c r="G63" s="104">
        <f>'Balance Sheet (USD)'!H18-'Balance Sheet (USD)'!H12</f>
        <v>3495773</v>
      </c>
    </row>
    <row r="64" spans="2:7" ht="15.75" customHeight="1" x14ac:dyDescent="0.25"/>
    <row r="65" spans="2:7" ht="15.75" customHeight="1" x14ac:dyDescent="0.25"/>
    <row r="66" spans="2:7" ht="15.75" customHeight="1" x14ac:dyDescent="0.25">
      <c r="B66" s="28" t="s">
        <v>119</v>
      </c>
      <c r="C66" s="105">
        <f>C61/C63</f>
        <v>0.36888437425627979</v>
      </c>
      <c r="D66" s="105">
        <f t="shared" ref="D66:G66" si="6">D61/D63</f>
        <v>0.39690741945229607</v>
      </c>
      <c r="E66" s="105">
        <f t="shared" si="6"/>
        <v>0.56305410789804311</v>
      </c>
      <c r="F66" s="105">
        <f t="shared" si="6"/>
        <v>0.45012134818679772</v>
      </c>
      <c r="G66" s="105">
        <f t="shared" si="6"/>
        <v>0.29963673270547031</v>
      </c>
    </row>
    <row r="67" spans="2:7" ht="15.75" customHeight="1" x14ac:dyDescent="0.25">
      <c r="B67" s="28" t="s">
        <v>120</v>
      </c>
      <c r="C67" s="105">
        <f>(C62+C61)/C63</f>
        <v>1.1080075125515663</v>
      </c>
      <c r="D67" s="105">
        <f t="shared" ref="D67:G67" si="7">(D62+D61)/D63</f>
        <v>0.9765218899094934</v>
      </c>
      <c r="E67" s="105">
        <f t="shared" si="7"/>
        <v>1.1885055645097788</v>
      </c>
      <c r="F67" s="105">
        <f t="shared" si="7"/>
        <v>0.90699275406323143</v>
      </c>
      <c r="G67" s="105">
        <f t="shared" si="7"/>
        <v>0.7450578169692369</v>
      </c>
    </row>
    <row r="68" spans="2:7" ht="15.75" customHeight="1" x14ac:dyDescent="0.25"/>
    <row r="69" spans="2:7" ht="299.25" customHeight="1" x14ac:dyDescent="0.25"/>
    <row r="70" spans="2:7" ht="15.75" customHeight="1" x14ac:dyDescent="0.25"/>
    <row r="71" spans="2:7" ht="18.75" customHeight="1" x14ac:dyDescent="0.25"/>
    <row r="73" spans="2:7" x14ac:dyDescent="0.25">
      <c r="B73" s="101" t="s">
        <v>89</v>
      </c>
      <c r="C73" s="102"/>
      <c r="D73" s="102"/>
      <c r="E73" s="102"/>
      <c r="F73" s="102"/>
      <c r="G73" s="103"/>
    </row>
    <row r="75" spans="2:7" x14ac:dyDescent="0.25">
      <c r="B75" s="38"/>
      <c r="C75" s="30">
        <v>2011</v>
      </c>
      <c r="D75" s="30">
        <v>2012</v>
      </c>
      <c r="E75" s="30">
        <v>2013</v>
      </c>
      <c r="F75" s="30">
        <v>2014</v>
      </c>
      <c r="G75" s="30">
        <v>2015</v>
      </c>
    </row>
    <row r="76" spans="2:7" x14ac:dyDescent="0.25">
      <c r="B76" s="40" t="s">
        <v>90</v>
      </c>
      <c r="C76" s="41">
        <f>'Income Statement (USD 1''000)'!D8</f>
        <v>6080788</v>
      </c>
      <c r="D76" s="41">
        <f>'Income Statement (USD 1''000)'!E8</f>
        <v>6644252</v>
      </c>
      <c r="E76" s="41">
        <f>'Income Statement (USD 1''000)'!F8</f>
        <v>7146079</v>
      </c>
      <c r="F76" s="41">
        <f>'Income Statement (USD 1''000)'!G8</f>
        <v>7421768</v>
      </c>
      <c r="G76" s="41">
        <f>'Income Statement (USD 1''000)'!H8</f>
        <v>7386626</v>
      </c>
    </row>
    <row r="77" spans="2:7" x14ac:dyDescent="0.25">
      <c r="B77" s="35" t="s">
        <v>111</v>
      </c>
      <c r="C77" s="42">
        <f>'Income Statement (USD 1''000)'!D8/'Income Statement (USD 1''000)'!C8-1</f>
        <v>7.2258569859437793E-2</v>
      </c>
      <c r="D77" s="42">
        <f>'Income Statement (USD 1''000)'!E8/'Income Statement (USD 1''000)'!D8-1</f>
        <v>9.2662990388745703E-2</v>
      </c>
      <c r="E77" s="42">
        <f>'Income Statement (USD 1''000)'!F8/'Income Statement (USD 1''000)'!E8-1</f>
        <v>7.5527990208679618E-2</v>
      </c>
      <c r="F77" s="42">
        <f>'Income Statement (USD 1''000)'!G8/'Income Statement (USD 1''000)'!F8-1</f>
        <v>3.8579058529859545E-2</v>
      </c>
      <c r="G77" s="42">
        <f>'Income Statement (USD 1''000)'!H8/'Income Statement (USD 1''000)'!G8-1</f>
        <v>-4.7349903688717054E-3</v>
      </c>
    </row>
    <row r="79" spans="2:7" x14ac:dyDescent="0.25">
      <c r="B79" s="40" t="s">
        <v>92</v>
      </c>
      <c r="C79" s="43">
        <f>('Income Statement (USD 1''000)'!D8-'Income Statement (USD 1''000)'!D10)/'Income Statement (USD 1''000)'!D8</f>
        <v>0.41637564078866096</v>
      </c>
      <c r="D79" s="43">
        <f>('Income Statement (USD 1''000)'!E8-'Income Statement (USD 1''000)'!E10)/'Income Statement (USD 1''000)'!E8</f>
        <v>0.43042949003138353</v>
      </c>
      <c r="E79" s="43">
        <f>('Income Statement (USD 1''000)'!F8-'Income Statement (USD 1''000)'!F10)/'Income Statement (USD 1''000)'!F8</f>
        <v>0.45911163310677083</v>
      </c>
      <c r="F79" s="43">
        <f>('Income Statement (USD 1''000)'!G8-'Income Statement (USD 1''000)'!G10)/'Income Statement (USD 1''000)'!G8</f>
        <v>0.44951095210736847</v>
      </c>
      <c r="G79" s="43">
        <f>('Income Statement (USD 1''000)'!H8-'Income Statement (USD 1''000)'!H10)/'Income Statement (USD 1''000)'!H8</f>
        <v>0.45794588760822602</v>
      </c>
    </row>
    <row r="80" spans="2:7" x14ac:dyDescent="0.25">
      <c r="B80" s="33" t="s">
        <v>93</v>
      </c>
      <c r="C80" s="44">
        <f>'Income Statement (common size)'!D15</f>
        <v>0.17350185535164192</v>
      </c>
      <c r="D80" s="44">
        <f>'Income Statement (common size)'!E15</f>
        <v>0.16723447575438138</v>
      </c>
      <c r="E80" s="44">
        <f>'Income Statement (common size)'!F15</f>
        <v>0.18724268231571467</v>
      </c>
      <c r="F80" s="44">
        <f>'Income Statement (common size)'!G15</f>
        <v>0.18759155500414457</v>
      </c>
      <c r="G80" s="44">
        <f>'Income Statement (common size)'!H15</f>
        <v>0.14049161281483588</v>
      </c>
    </row>
    <row r="81" spans="2:13" x14ac:dyDescent="0.25">
      <c r="B81" s="35" t="s">
        <v>94</v>
      </c>
      <c r="C81" s="42">
        <f>'Income Statement (common size)'!D20</f>
        <v>0.10343429173982056</v>
      </c>
      <c r="D81" s="42">
        <f>'Income Statement (common size)'!E20</f>
        <v>9.9474101825156536E-2</v>
      </c>
      <c r="E81" s="42">
        <f>'Income Statement (common size)'!F20</f>
        <v>0.11481401199175099</v>
      </c>
      <c r="F81" s="42">
        <f>'Income Statement (common size)'!G20</f>
        <v>0.11411189355420434</v>
      </c>
      <c r="G81" s="42">
        <f>'Income Statement (common size)'!H20</f>
        <v>6.9443207223433265E-2</v>
      </c>
    </row>
    <row r="83" spans="2:13" x14ac:dyDescent="0.25">
      <c r="B83" s="40" t="s">
        <v>91</v>
      </c>
      <c r="C83" s="43">
        <f>'Income Statement (USD 1''000)'!D20/AVERAGE('Balance Sheet (USD)'!C40:D40)</f>
        <v>0.69489003998897392</v>
      </c>
      <c r="D83" s="43">
        <f>'Income Statement (USD 1''000)'!E20/AVERAGE('Balance Sheet (USD)'!D40:E40)</f>
        <v>0.68810387809399276</v>
      </c>
      <c r="E83" s="43">
        <f>'Income Statement (USD 1''000)'!F20/AVERAGE('Balance Sheet (USD)'!E40:F40)</f>
        <v>0.61587021590024116</v>
      </c>
      <c r="F83" s="43">
        <f>'Income Statement (USD 1''000)'!G20/AVERAGE('Balance Sheet (USD)'!F40:G40)</f>
        <v>0.5401944519390659</v>
      </c>
      <c r="G83" s="43">
        <f>'Income Statement (USD 1''000)'!H20/AVERAGE('Balance Sheet (USD)'!G40:H40)</f>
        <v>0.39965142080692112</v>
      </c>
    </row>
    <row r="84" spans="2:13" x14ac:dyDescent="0.25">
      <c r="B84" s="33"/>
      <c r="C84" s="44"/>
      <c r="D84" s="44"/>
      <c r="E84" s="44"/>
      <c r="F84" s="44"/>
      <c r="G84" s="44"/>
    </row>
    <row r="85" spans="2:13" x14ac:dyDescent="0.25">
      <c r="B85" s="33" t="s">
        <v>96</v>
      </c>
      <c r="C85" s="44">
        <f>'Income Statement (USD 1''000)'!D28/AVERAGE('Balance Sheet (USD)'!C41:D41)</f>
        <v>0.15870683725530138</v>
      </c>
      <c r="D85" s="44">
        <f>'Income Statement (USD 1''000)'!E28/AVERAGE('Balance Sheet (USD)'!D41:E41)</f>
        <v>0.15776667882355808</v>
      </c>
      <c r="E85" s="44">
        <f>'Income Statement (USD 1''000)'!F28/AVERAGE('Balance Sheet (USD)'!E41:F41)</f>
        <v>0.17351867582589478</v>
      </c>
      <c r="F85" s="44">
        <f>'Income Statement (USD 1''000)'!G28/AVERAGE('Balance Sheet (USD)'!F41:G41)</f>
        <v>0.16444283833412121</v>
      </c>
      <c r="G85" s="44">
        <f>'Income Statement (USD 1''000)'!H28/AVERAGE('Balance Sheet (USD)'!G41:H41)</f>
        <v>0.10763961433492827</v>
      </c>
    </row>
    <row r="86" spans="2:13" x14ac:dyDescent="0.25">
      <c r="B86" s="33" t="s">
        <v>95</v>
      </c>
      <c r="C86" s="44">
        <f>'Income Statement (USD 1''000)'!D15/AVERAGE('Balance Sheet (USD)'!C41:D41)</f>
        <v>0.24295598894222648</v>
      </c>
      <c r="D86" s="44">
        <f>'Income Statement (USD 1''000)'!E15/AVERAGE('Balance Sheet (USD)'!D41:E41)</f>
        <v>0.24242247059519118</v>
      </c>
      <c r="E86" s="44">
        <f>'Income Statement (USD 1''000)'!F15/AVERAGE('Balance Sheet (USD)'!E41:F41)</f>
        <v>0.26463760517238022</v>
      </c>
      <c r="F86" s="44">
        <f>'Income Statement (USD 1''000)'!G15/AVERAGE('Balance Sheet (USD)'!F41:G41)</f>
        <v>0.25359118527829422</v>
      </c>
      <c r="G86" s="44">
        <f>'Income Statement (USD 1''000)'!H15/AVERAGE('Balance Sheet (USD)'!G41:H41)</f>
        <v>0.18924704946303267</v>
      </c>
    </row>
    <row r="87" spans="2:13" x14ac:dyDescent="0.25">
      <c r="B87" s="35" t="s">
        <v>97</v>
      </c>
      <c r="C87" s="42">
        <f>'Income Statement (USD 1''000)'!D20/AVERAGE('Balance Sheet (USD)'!C41:D41)</f>
        <v>0.14483983810579495</v>
      </c>
      <c r="D87" s="42">
        <f>'Income Statement (USD 1''000)'!E20/AVERAGE('Balance Sheet (USD)'!D41:E41)</f>
        <v>0.14419728597176099</v>
      </c>
      <c r="E87" s="42">
        <f>'Income Statement (USD 1''000)'!F20/AVERAGE('Balance Sheet (USD)'!E41:F41)</f>
        <v>0.16227125566647518</v>
      </c>
      <c r="F87" s="42">
        <f>'Income Statement (USD 1''000)'!G20/AVERAGE('Balance Sheet (USD)'!F41:G41)</f>
        <v>0.15425945128565025</v>
      </c>
      <c r="G87" s="42">
        <f>'Income Statement (USD 1''000)'!H20/AVERAGE('Balance Sheet (USD)'!G41:H41)</f>
        <v>9.3542395940784007E-2</v>
      </c>
    </row>
    <row r="88" spans="2:13" x14ac:dyDescent="0.25">
      <c r="B88" s="33"/>
      <c r="C88" s="33"/>
      <c r="D88" s="33"/>
      <c r="E88" s="33"/>
      <c r="F88" s="44"/>
      <c r="G88" s="44"/>
    </row>
    <row r="89" spans="2:13" x14ac:dyDescent="0.25">
      <c r="B89" s="45" t="s">
        <v>100</v>
      </c>
      <c r="C89" s="45"/>
      <c r="D89" s="45"/>
      <c r="E89" s="45"/>
      <c r="F89" s="46"/>
      <c r="G89" s="46"/>
    </row>
    <row r="90" spans="2:13" x14ac:dyDescent="0.25">
      <c r="B90" s="47" t="s">
        <v>94</v>
      </c>
      <c r="C90" s="44">
        <f t="shared" ref="C90:F90" si="8">C81</f>
        <v>0.10343429173982056</v>
      </c>
      <c r="D90" s="44">
        <f t="shared" si="8"/>
        <v>9.9474101825156536E-2</v>
      </c>
      <c r="E90" s="44">
        <f t="shared" si="8"/>
        <v>0.11481401199175099</v>
      </c>
      <c r="F90" s="44">
        <f t="shared" si="8"/>
        <v>0.11411189355420434</v>
      </c>
      <c r="G90" s="44">
        <f t="shared" ref="G90" si="9">G81</f>
        <v>6.9443207223433265E-2</v>
      </c>
    </row>
    <row r="91" spans="2:13" x14ac:dyDescent="0.25">
      <c r="B91" s="47" t="s">
        <v>68</v>
      </c>
      <c r="C91" s="48">
        <f t="shared" ref="C91:F91" si="10">C21</f>
        <v>1.4003077284091261</v>
      </c>
      <c r="D91" s="48">
        <f t="shared" si="10"/>
        <v>1.4495962599915044</v>
      </c>
      <c r="E91" s="48">
        <f t="shared" si="10"/>
        <v>1.4133401738294262</v>
      </c>
      <c r="F91" s="48">
        <f t="shared" si="10"/>
        <v>1.3518262337166056</v>
      </c>
      <c r="G91" s="48">
        <f>G21</f>
        <v>1.347034500290456</v>
      </c>
    </row>
    <row r="92" spans="2:13" x14ac:dyDescent="0.25">
      <c r="B92" s="47" t="s">
        <v>99</v>
      </c>
      <c r="C92" s="48">
        <f>AVERAGE('Balance Sheet (USD)'!C40:D40)/AVERAGE('Balance Sheet (USD)'!C41:D41)</f>
        <v>0.20843562257431866</v>
      </c>
      <c r="D92" s="48">
        <f>AVERAGE('Balance Sheet (USD)'!D40:E40)/AVERAGE('Balance Sheet (USD)'!D41:E41)</f>
        <v>0.20955743829140885</v>
      </c>
      <c r="E92" s="48">
        <f>AVERAGE('Balance Sheet (USD)'!E40:F40)/AVERAGE('Balance Sheet (USD)'!E41:F41)</f>
        <v>0.2634828758998794</v>
      </c>
      <c r="F92" s="48">
        <f>AVERAGE('Balance Sheet (USD)'!F40:G40)/AVERAGE('Balance Sheet (USD)'!F41:G41)</f>
        <v>0.28556282044720216</v>
      </c>
      <c r="G92" s="48">
        <f>AVERAGE('Balance Sheet (USD)'!G40:H40)/AVERAGE('Balance Sheet (USD)'!G41:H41)</f>
        <v>0.23405996093274506</v>
      </c>
    </row>
    <row r="93" spans="2:13" x14ac:dyDescent="0.25">
      <c r="B93" s="45" t="s">
        <v>57</v>
      </c>
      <c r="C93" s="46">
        <f t="shared" ref="C93:F93" si="11">C90*C91/C92</f>
        <v>0.69489003998897381</v>
      </c>
      <c r="D93" s="46">
        <f t="shared" si="11"/>
        <v>0.68810387809399265</v>
      </c>
      <c r="E93" s="46">
        <f t="shared" si="11"/>
        <v>0.61587021590024116</v>
      </c>
      <c r="F93" s="46">
        <f t="shared" si="11"/>
        <v>0.5401944519390659</v>
      </c>
      <c r="G93" s="46">
        <f>G90*G91/G92</f>
        <v>0.39965142080692106</v>
      </c>
    </row>
    <row r="94" spans="2:13" x14ac:dyDescent="0.25">
      <c r="B94" s="33"/>
      <c r="C94" s="33"/>
      <c r="D94" s="33"/>
      <c r="E94" s="33"/>
      <c r="F94" s="44"/>
      <c r="G94" s="44"/>
    </row>
    <row r="95" spans="2:13" x14ac:dyDescent="0.25">
      <c r="B95" s="45" t="s">
        <v>110</v>
      </c>
      <c r="C95" s="69">
        <v>2.74</v>
      </c>
      <c r="D95" s="69">
        <v>2.89</v>
      </c>
      <c r="E95" s="69">
        <v>3.61</v>
      </c>
      <c r="F95" s="69">
        <v>3.77</v>
      </c>
      <c r="G95" s="69">
        <v>2.3199999999999998</v>
      </c>
      <c r="H95" s="2"/>
    </row>
    <row r="96" spans="2:13" x14ac:dyDescent="0.25">
      <c r="B96" s="33"/>
      <c r="C96" s="33"/>
      <c r="E96" s="2"/>
      <c r="F96" s="1" t="s">
        <v>1</v>
      </c>
      <c r="G96" s="1" t="s">
        <v>1</v>
      </c>
      <c r="I96" s="2"/>
      <c r="J96" s="1" t="s">
        <v>1</v>
      </c>
      <c r="K96" s="1" t="s">
        <v>1</v>
      </c>
      <c r="M96" s="2"/>
    </row>
    <row r="98" spans="2:7" ht="293.25" customHeight="1" x14ac:dyDescent="0.25"/>
    <row r="99" spans="2:7" ht="297" customHeight="1" x14ac:dyDescent="0.25"/>
    <row r="101" spans="2:7" x14ac:dyDescent="0.25">
      <c r="B101" s="101" t="s">
        <v>101</v>
      </c>
      <c r="C101" s="102"/>
      <c r="D101" s="102"/>
      <c r="E101" s="102"/>
      <c r="F101" s="102"/>
      <c r="G101" s="103"/>
    </row>
    <row r="103" spans="2:7" x14ac:dyDescent="0.25">
      <c r="B103" s="38"/>
      <c r="C103" s="30">
        <f t="shared" ref="C103:E103" si="12">C75</f>
        <v>2011</v>
      </c>
      <c r="D103" s="30">
        <f t="shared" si="12"/>
        <v>2012</v>
      </c>
      <c r="E103" s="30">
        <f t="shared" si="12"/>
        <v>2013</v>
      </c>
      <c r="F103" s="30">
        <f>F75</f>
        <v>2014</v>
      </c>
      <c r="G103" s="30">
        <f>G75</f>
        <v>2015</v>
      </c>
    </row>
    <row r="104" spans="2:7" x14ac:dyDescent="0.25">
      <c r="B104" s="40" t="s">
        <v>102</v>
      </c>
      <c r="C104" s="41">
        <f>'Income Statement (USD 1''000)'!D31</f>
        <v>304083</v>
      </c>
      <c r="D104" s="41">
        <f>'Income Statement (USD 1''000)'!E31</f>
        <v>341206</v>
      </c>
      <c r="E104" s="41">
        <f>'Income Statement (USD 1''000)'!F31</f>
        <v>393801</v>
      </c>
      <c r="F104" s="41">
        <f>'Income Statement (USD 1''000)'!G31</f>
        <v>440414</v>
      </c>
      <c r="G104" s="41">
        <f>'Income Statement (USD 1''000)'!H31</f>
        <v>476132</v>
      </c>
    </row>
    <row r="105" spans="2:7" x14ac:dyDescent="0.25">
      <c r="B105" s="28" t="s">
        <v>103</v>
      </c>
      <c r="C105" s="49">
        <f>'Balance Sheet (USD)'!C36-'Balance Sheet (USD)'!D36</f>
        <v>206861</v>
      </c>
      <c r="D105" s="49">
        <f>'Balance Sheet (USD)'!D36-'Balance Sheet (USD)'!E36</f>
        <v>299706</v>
      </c>
      <c r="E105" s="49">
        <f>'Balance Sheet (USD)'!E36-'Balance Sheet (USD)'!F36</f>
        <v>149062</v>
      </c>
      <c r="F105" s="49">
        <f>'Balance Sheet (USD)'!F36-'Balance Sheet (USD)'!G36</f>
        <v>453506</v>
      </c>
      <c r="G105" s="49">
        <f>'Balance Sheet (USD)'!G36-'Balance Sheet (USD)'!H36</f>
        <v>511123</v>
      </c>
    </row>
    <row r="106" spans="2:7" x14ac:dyDescent="0.25">
      <c r="B106" s="29" t="s">
        <v>104</v>
      </c>
      <c r="C106" s="50">
        <f t="shared" ref="C106:F106" si="13">C104+C105</f>
        <v>510944</v>
      </c>
      <c r="D106" s="50">
        <f t="shared" si="13"/>
        <v>640912</v>
      </c>
      <c r="E106" s="50">
        <f t="shared" si="13"/>
        <v>542863</v>
      </c>
      <c r="F106" s="50">
        <f t="shared" si="13"/>
        <v>893920</v>
      </c>
      <c r="G106" s="50">
        <f t="shared" ref="G106" si="14">G104+G105</f>
        <v>987255</v>
      </c>
    </row>
    <row r="107" spans="2:7" x14ac:dyDescent="0.25">
      <c r="B107" s="33"/>
      <c r="C107" s="67"/>
      <c r="D107" s="67"/>
      <c r="E107" s="67"/>
      <c r="F107" s="67"/>
      <c r="G107" s="67"/>
    </row>
    <row r="108" spans="2:7" x14ac:dyDescent="0.25">
      <c r="B108" s="38" t="s">
        <v>106</v>
      </c>
      <c r="C108" s="51">
        <f>C104/'Income Statement (USD 1''000)'!D20</f>
        <v>0.48346799965657705</v>
      </c>
      <c r="D108" s="51">
        <f>D104/'Income Statement (USD 1''000)'!E20</f>
        <v>0.51625056170765182</v>
      </c>
      <c r="E108" s="51">
        <f>E104/'Income Statement (USD 1''000)'!F20</f>
        <v>0.47997001718527188</v>
      </c>
      <c r="F108" s="51">
        <f>F104/'Income Statement (USD 1''000)'!G20</f>
        <v>0.52002333182196026</v>
      </c>
      <c r="G108" s="51">
        <f>G104/'Income Statement (USD 1''000)'!H20</f>
        <v>0.92822121411206915</v>
      </c>
    </row>
    <row r="109" spans="2:7" x14ac:dyDescent="0.25">
      <c r="B109" s="38" t="s">
        <v>107</v>
      </c>
      <c r="C109" s="51">
        <f>C106/'Income Statement (USD 1''000)'!D20</f>
        <v>0.81236068315732901</v>
      </c>
      <c r="D109" s="51">
        <f>D106/'Income Statement (USD 1''000)'!E20</f>
        <v>0.96971090779521618</v>
      </c>
      <c r="E109" s="51">
        <f>E106/'Income Statement (USD 1''000)'!F20</f>
        <v>0.66164881104732653</v>
      </c>
      <c r="F109" s="51">
        <f>F106/'Income Statement (USD 1''000)'!G20</f>
        <v>1.0555051764528074</v>
      </c>
      <c r="G109" s="51">
        <f>G106/'Income Statement (USD 1''000)'!H20</f>
        <v>1.9246575208938086</v>
      </c>
    </row>
    <row r="111" spans="2:7" ht="303.75" customHeight="1" x14ac:dyDescent="0.25"/>
    <row r="113" spans="2:7" x14ac:dyDescent="0.25">
      <c r="B113" s="101" t="s">
        <v>98</v>
      </c>
      <c r="C113" s="102"/>
      <c r="D113" s="102"/>
      <c r="E113" s="102"/>
      <c r="F113" s="102"/>
      <c r="G113" s="103"/>
    </row>
    <row r="115" spans="2:7" x14ac:dyDescent="0.25">
      <c r="B115" s="38"/>
      <c r="C115" s="30">
        <f t="shared" ref="C115:F115" si="15">C103</f>
        <v>2011</v>
      </c>
      <c r="D115" s="30">
        <f t="shared" si="15"/>
        <v>2012</v>
      </c>
      <c r="E115" s="30">
        <f t="shared" si="15"/>
        <v>2013</v>
      </c>
      <c r="F115" s="30">
        <f t="shared" si="15"/>
        <v>2014</v>
      </c>
      <c r="G115" s="30">
        <f>G103</f>
        <v>2015</v>
      </c>
    </row>
    <row r="116" spans="2:7" x14ac:dyDescent="0.25">
      <c r="B116" s="28" t="s">
        <v>108</v>
      </c>
      <c r="C116" s="67">
        <f>'Balance Sheet (USD)'!C24+'Balance Sheet (USD)'!C25+'Balance Sheet (USD)'!C27+'Balance Sheet (USD)'!C40</f>
        <v>2764906</v>
      </c>
      <c r="D116" s="67">
        <f>'Balance Sheet (USD)'!D24+'Balance Sheet (USD)'!D25+'Balance Sheet (USD)'!D27+'Balance Sheet (USD)'!D40</f>
        <v>2760821</v>
      </c>
      <c r="E116" s="67">
        <f>'Balance Sheet (USD)'!E24+'Balance Sheet (USD)'!E25+'Balance Sheet (USD)'!E27+'Balance Sheet (USD)'!E40</f>
        <v>2955238</v>
      </c>
      <c r="F116" s="67">
        <f>'Balance Sheet (USD)'!F24+'Balance Sheet (USD)'!F25+'Balance Sheet (USD)'!F27+'Balance Sheet (USD)'!F40</f>
        <v>3578069</v>
      </c>
      <c r="G116" s="67">
        <f>'Balance Sheet (USD)'!G24+'Balance Sheet (USD)'!G25+'Balance Sheet (USD)'!G27+'Balance Sheet (USD)'!G40</f>
        <v>3697348</v>
      </c>
    </row>
    <row r="117" spans="2:7" x14ac:dyDescent="0.25">
      <c r="B117" s="28" t="s">
        <v>58</v>
      </c>
      <c r="C117" s="52">
        <f>'Income Statement (USD 1''000)'!D28</f>
        <v>689178.96539526095</v>
      </c>
      <c r="D117" s="52">
        <f>'Income Statement (USD 1''000)'!E28</f>
        <v>723126.56995467609</v>
      </c>
      <c r="E117" s="52">
        <f>'Income Statement (USD 1''000)'!F28</f>
        <v>877338.79527922149</v>
      </c>
      <c r="F117" s="52">
        <f>'Income Statement (USD 1''000)'!G28</f>
        <v>902820.61772238731</v>
      </c>
      <c r="G117" s="52">
        <f>'Income Statement (USD 1''000)'!H28</f>
        <v>590254.79577910656</v>
      </c>
    </row>
    <row r="118" spans="2:7" x14ac:dyDescent="0.25">
      <c r="B118" s="29" t="s">
        <v>59</v>
      </c>
      <c r="C118" s="46">
        <f t="shared" ref="C118:E118" si="16">C117/C116</f>
        <v>0.24925945597979135</v>
      </c>
      <c r="D118" s="46">
        <f t="shared" si="16"/>
        <v>0.2619244673793325</v>
      </c>
      <c r="E118" s="46">
        <f t="shared" si="16"/>
        <v>0.29687585070279332</v>
      </c>
      <c r="F118" s="46">
        <f t="shared" ref="F118:G118" si="17">F117/F116</f>
        <v>0.25232062817189588</v>
      </c>
      <c r="G118" s="46">
        <f t="shared" si="17"/>
        <v>0.15964274820198329</v>
      </c>
    </row>
    <row r="119" spans="2:7" x14ac:dyDescent="0.25">
      <c r="F119" s="53"/>
      <c r="G119" s="53"/>
    </row>
    <row r="120" spans="2:7" x14ac:dyDescent="0.25">
      <c r="B120" s="28" t="s">
        <v>109</v>
      </c>
      <c r="C120" s="68">
        <v>6.5000000000000002E-2</v>
      </c>
      <c r="D120" s="68">
        <v>6.5000000000000002E-2</v>
      </c>
      <c r="E120" s="68">
        <v>6.5000000000000002E-2</v>
      </c>
      <c r="F120" s="68">
        <v>6.5000000000000002E-2</v>
      </c>
      <c r="G120" s="68">
        <v>6.5000000000000002E-2</v>
      </c>
    </row>
    <row r="121" spans="2:7" x14ac:dyDescent="0.25">
      <c r="F121" s="53"/>
      <c r="G121" s="53"/>
    </row>
    <row r="122" spans="2:7" x14ac:dyDescent="0.25">
      <c r="B122" s="54" t="s">
        <v>60</v>
      </c>
      <c r="C122" s="55">
        <f t="shared" ref="C122:F122" si="18">C118-C120</f>
        <v>0.18425945597979135</v>
      </c>
      <c r="D122" s="55">
        <f t="shared" si="18"/>
        <v>0.1969244673793325</v>
      </c>
      <c r="E122" s="55">
        <f t="shared" si="18"/>
        <v>0.23187585070279332</v>
      </c>
      <c r="F122" s="55">
        <f t="shared" si="18"/>
        <v>0.18732062817189588</v>
      </c>
      <c r="G122" s="55">
        <f t="shared" ref="G122" si="19">G118-G120</f>
        <v>9.464274820198329E-2</v>
      </c>
    </row>
    <row r="123" spans="2:7" x14ac:dyDescent="0.25">
      <c r="B123" s="56" t="s">
        <v>61</v>
      </c>
      <c r="C123" s="57">
        <f t="shared" ref="C123:F123" si="20">C117-C116*C120</f>
        <v>509460.07539526094</v>
      </c>
      <c r="D123" s="57">
        <f t="shared" si="20"/>
        <v>543673.2049546761</v>
      </c>
      <c r="E123" s="57">
        <f t="shared" si="20"/>
        <v>685248.32527922152</v>
      </c>
      <c r="F123" s="57">
        <f t="shared" si="20"/>
        <v>670246.13272238732</v>
      </c>
      <c r="G123" s="57">
        <f t="shared" ref="G123" si="21">G117-G116*G120</f>
        <v>349927.17577910656</v>
      </c>
    </row>
    <row r="125" spans="2:7" ht="303.75" customHeight="1" x14ac:dyDescent="0.25"/>
  </sheetData>
  <mergeCells count="7">
    <mergeCell ref="B113:G113"/>
    <mergeCell ref="B4:G4"/>
    <mergeCell ref="B13:G13"/>
    <mergeCell ref="B32:G32"/>
    <mergeCell ref="B73:G73"/>
    <mergeCell ref="B101:G101"/>
    <mergeCell ref="B59:G59"/>
  </mergeCells>
  <pageMargins left="0.7" right="0.7" top="0.75" bottom="0.75" header="0.3" footer="0.3"/>
  <pageSetup paperSize="9" scale="74" fitToHeight="0" orientation="landscape" r:id="rId1"/>
  <headerFooter>
    <oddFooter>&amp;LPrepared by TEBU Finance &amp;D&amp;RPage &amp;P</oddFooter>
  </headerFooter>
  <rowBreaks count="5" manualBreakCount="5">
    <brk id="11" min="1" max="6" man="1"/>
    <brk id="30" min="1" max="6" man="1"/>
    <brk id="71" min="1" max="6" man="1"/>
    <brk id="99" min="1" max="6" man="1"/>
    <brk id="111" min="1" max="6" man="1"/>
  </rowBreaks>
  <ignoredErrors>
    <ignoredError sqref="C17:G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Balance Sheet (USD)</vt:lpstr>
      <vt:lpstr>Balance Sheet (common size)</vt:lpstr>
      <vt:lpstr>Income Statement (USD 1'000)</vt:lpstr>
      <vt:lpstr>Income Statement (common size)</vt:lpstr>
      <vt:lpstr>Ratios</vt:lpstr>
      <vt:lpstr>'Balance Sheet (common size)'!Print_Area</vt:lpstr>
      <vt:lpstr>'Balance Sheet (USD)'!Print_Area</vt:lpstr>
      <vt:lpstr>'Income Statement (common size)'!Print_Area</vt:lpstr>
      <vt:lpstr>'Income Statement (USD 1''000)'!Print_Area</vt:lpstr>
      <vt:lpstr>Ratios!Print_Area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TEBU Finance</dc:creator>
  <cp:lastModifiedBy>Urs Wälchli</cp:lastModifiedBy>
  <cp:lastPrinted>2016-07-05T09:55:57Z</cp:lastPrinted>
  <dcterms:created xsi:type="dcterms:W3CDTF">2016-06-29T12:42:48Z</dcterms:created>
  <dcterms:modified xsi:type="dcterms:W3CDTF">2017-06-29T08:58:18Z</dcterms:modified>
</cp:coreProperties>
</file>