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0" yWindow="0" windowWidth="25600" windowHeight="16060"/>
  </bookViews>
  <sheets>
    <sheet name="Historical data" sheetId="1" r:id="rId1"/>
    <sheet name="Projection and valuation" sheetId="4" r:id="rId2"/>
    <sheet name="Simulation with @Risk" sheetId="5" r:id="rId3"/>
    <sheet name="Sheet3" sheetId="3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Costs_of_sales" localSheetId="2">'Simulation with @Risk'!$D$9</definedName>
    <definedName name="Costs_of_sales">'Projection and valuation'!$D$9</definedName>
    <definedName name="Costs_ofsales" localSheetId="2">'Simulation with @Risk'!$D$9</definedName>
    <definedName name="Costs_ofsales">'Projection and valuation'!$D$9</definedName>
    <definedName name="Credit_Spread" localSheetId="2">'Simulation with @Risk'!$E$80</definedName>
    <definedName name="Credit_Spread">'Projection and valuation'!$E$80</definedName>
    <definedName name="Equity_Beta" localSheetId="2">'Simulation with @Risk'!$E$77</definedName>
    <definedName name="Equity_Beta">'Projection and valuation'!$E$77</definedName>
    <definedName name="Long_term_EBIT_margin" localSheetId="2">'Simulation with @Risk'!$E$107</definedName>
    <definedName name="Long_term_EBIT_margin">'Projection and valuation'!$E$107</definedName>
    <definedName name="Pal_Workbook_GUID" hidden="1">"FKLCJS3Q55K365SKWX3TM1SB"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5" l="1"/>
  <c r="E68" i="5"/>
  <c r="E46" i="5"/>
  <c r="E32" i="5"/>
  <c r="E62" i="5"/>
  <c r="E66" i="5"/>
  <c r="E60" i="5"/>
  <c r="F52" i="5"/>
  <c r="E52" i="5"/>
  <c r="F72" i="5"/>
  <c r="E72" i="5"/>
  <c r="E51" i="5"/>
  <c r="E30" i="5"/>
  <c r="E50" i="5"/>
  <c r="E64" i="5"/>
  <c r="F46" i="5"/>
  <c r="F44" i="5"/>
  <c r="E44" i="5"/>
  <c r="F37" i="5"/>
  <c r="F68" i="5"/>
  <c r="D33" i="5"/>
  <c r="D36" i="5"/>
  <c r="D38" i="5"/>
  <c r="F35" i="5"/>
  <c r="E35" i="5"/>
  <c r="E34" i="5"/>
  <c r="F32" i="5"/>
  <c r="F62" i="5"/>
  <c r="D110" i="5"/>
  <c r="F30" i="5"/>
  <c r="F50" i="5"/>
  <c r="E45" i="5"/>
  <c r="E63" i="5"/>
  <c r="E30" i="4"/>
  <c r="E31" i="4"/>
  <c r="E46" i="4"/>
  <c r="E32" i="4"/>
  <c r="E33" i="4"/>
  <c r="E34" i="4"/>
  <c r="E35" i="4"/>
  <c r="E36" i="4"/>
  <c r="E37" i="4"/>
  <c r="E38" i="4"/>
  <c r="D86" i="4"/>
  <c r="D88" i="4"/>
  <c r="D85" i="4"/>
  <c r="D90" i="4"/>
  <c r="E120" i="4"/>
  <c r="D124" i="4"/>
  <c r="E60" i="4"/>
  <c r="E51" i="4"/>
  <c r="F37" i="4"/>
  <c r="E62" i="4"/>
  <c r="F52" i="4"/>
  <c r="E52" i="4"/>
  <c r="E72" i="4"/>
  <c r="F44" i="4"/>
  <c r="E44" i="4"/>
  <c r="F35" i="4"/>
  <c r="D33" i="4"/>
  <c r="D36" i="4"/>
  <c r="D38" i="4"/>
  <c r="F30" i="4"/>
  <c r="F50" i="4"/>
  <c r="D116" i="4"/>
  <c r="D51" i="1"/>
  <c r="D54" i="1"/>
  <c r="F72" i="4"/>
  <c r="E69" i="4"/>
  <c r="F51" i="4"/>
  <c r="F69" i="4"/>
  <c r="D106" i="4"/>
  <c r="E106" i="4"/>
  <c r="F68" i="4"/>
  <c r="F60" i="4"/>
  <c r="F46" i="4"/>
  <c r="E68" i="4"/>
  <c r="E66" i="4"/>
  <c r="E45" i="4"/>
  <c r="E63" i="4"/>
  <c r="E50" i="4"/>
  <c r="F34" i="4"/>
  <c r="F45" i="4"/>
  <c r="D115" i="4"/>
  <c r="D117" i="4"/>
  <c r="D118" i="4"/>
  <c r="E118" i="4"/>
  <c r="D39" i="4"/>
  <c r="D40" i="4"/>
  <c r="E47" i="4"/>
  <c r="E53" i="4"/>
  <c r="E64" i="4"/>
  <c r="E54" i="4"/>
  <c r="F63" i="4"/>
  <c r="F47" i="4"/>
  <c r="F53" i="4"/>
  <c r="F54" i="4"/>
  <c r="F32" i="4"/>
  <c r="F62" i="4"/>
  <c r="D110" i="4"/>
  <c r="F64" i="4"/>
  <c r="D34" i="1"/>
  <c r="C34" i="1"/>
  <c r="D22" i="1"/>
  <c r="C22" i="1"/>
  <c r="D33" i="1"/>
  <c r="C33" i="1"/>
  <c r="D11" i="1"/>
  <c r="D15" i="1"/>
  <c r="C11" i="1"/>
  <c r="C15" i="1"/>
  <c r="D67" i="1"/>
  <c r="D38" i="1"/>
  <c r="D39" i="1"/>
  <c r="D40" i="1"/>
  <c r="C40" i="1"/>
  <c r="C39" i="1"/>
  <c r="D74" i="1"/>
  <c r="C38" i="1"/>
  <c r="D32" i="1"/>
  <c r="C32" i="1"/>
  <c r="D55" i="1"/>
  <c r="F66" i="4"/>
  <c r="D111" i="4"/>
  <c r="D112" i="4"/>
  <c r="D73" i="1"/>
  <c r="D65" i="1"/>
  <c r="D68" i="1"/>
  <c r="D24" i="1"/>
  <c r="D25" i="1"/>
  <c r="D26" i="1"/>
  <c r="C24" i="1"/>
  <c r="C25" i="1"/>
  <c r="C26" i="1"/>
  <c r="C35" i="1"/>
  <c r="D35" i="1"/>
  <c r="D77" i="1"/>
  <c r="D69" i="1"/>
  <c r="D71" i="1"/>
  <c r="D56" i="1"/>
  <c r="C41" i="1"/>
  <c r="C42" i="1"/>
  <c r="D41" i="1"/>
  <c r="D42" i="1"/>
  <c r="D57" i="1"/>
  <c r="D58" i="1"/>
  <c r="D76" i="1"/>
  <c r="D64" i="1"/>
  <c r="D66" i="1"/>
  <c r="D70" i="1"/>
  <c r="D72" i="1"/>
  <c r="D75" i="1"/>
  <c r="D78" i="1"/>
  <c r="D39" i="5"/>
  <c r="D40" i="5"/>
  <c r="F64" i="5"/>
  <c r="D116" i="5"/>
  <c r="E47" i="5"/>
  <c r="E53" i="5"/>
  <c r="F66" i="5"/>
  <c r="D111" i="5"/>
  <c r="D112" i="5"/>
  <c r="F45" i="5"/>
  <c r="E54" i="5"/>
  <c r="E69" i="5"/>
  <c r="D106" i="5"/>
  <c r="E106" i="5"/>
  <c r="F34" i="5"/>
  <c r="F51" i="5"/>
  <c r="F69" i="5"/>
  <c r="F60" i="5"/>
  <c r="E39" i="4"/>
  <c r="E40" i="4"/>
  <c r="F31" i="4"/>
  <c r="F33" i="4"/>
  <c r="F36" i="4"/>
  <c r="D115" i="5"/>
  <c r="D117" i="5"/>
  <c r="D118" i="5"/>
  <c r="E118" i="5"/>
  <c r="F63" i="5"/>
  <c r="F47" i="5"/>
  <c r="F53" i="5"/>
  <c r="F54" i="5"/>
  <c r="E71" i="4"/>
  <c r="E59" i="4"/>
  <c r="E61" i="4"/>
  <c r="E65" i="4"/>
  <c r="E67" i="4"/>
  <c r="D107" i="4"/>
  <c r="F38" i="4"/>
  <c r="E70" i="4"/>
  <c r="E73" i="4"/>
  <c r="F39" i="4"/>
  <c r="D108" i="4"/>
  <c r="E108" i="4"/>
  <c r="D125" i="4"/>
  <c r="D127" i="4"/>
  <c r="D128" i="4"/>
  <c r="F40" i="4"/>
  <c r="F59" i="4"/>
  <c r="F61" i="4"/>
  <c r="F71" i="4"/>
  <c r="F65" i="4"/>
  <c r="F67" i="4"/>
  <c r="D113" i="4"/>
  <c r="D97" i="4"/>
  <c r="D98" i="4"/>
  <c r="F70" i="4"/>
  <c r="F73" i="4"/>
  <c r="D92" i="4"/>
  <c r="D130" i="4"/>
  <c r="D100" i="4"/>
  <c r="E107" i="5"/>
  <c r="E77" i="5"/>
  <c r="E80" i="5"/>
  <c r="D9" i="5"/>
  <c r="E31" i="5"/>
  <c r="E33" i="5"/>
  <c r="E36" i="5"/>
  <c r="E38" i="5"/>
  <c r="F31" i="5"/>
  <c r="F33" i="5"/>
  <c r="F36" i="5"/>
  <c r="F38" i="5"/>
  <c r="D86" i="5"/>
  <c r="D88" i="5"/>
  <c r="D85" i="5"/>
  <c r="D90" i="5"/>
  <c r="E120" i="5"/>
  <c r="D124" i="5"/>
  <c r="D107" i="5"/>
  <c r="E39" i="5"/>
  <c r="E40" i="5"/>
  <c r="E59" i="5"/>
  <c r="E61" i="5"/>
  <c r="E65" i="5"/>
  <c r="E67" i="5"/>
  <c r="E71" i="5"/>
  <c r="F39" i="5"/>
  <c r="D108" i="5"/>
  <c r="E108" i="5"/>
  <c r="D125" i="5"/>
  <c r="D127" i="5"/>
  <c r="D128" i="5"/>
  <c r="F40" i="5"/>
  <c r="E70" i="5"/>
  <c r="E73" i="5"/>
  <c r="F59" i="5"/>
  <c r="F61" i="5"/>
  <c r="F71" i="5"/>
  <c r="F65" i="5"/>
  <c r="F67" i="5"/>
  <c r="D113" i="5"/>
  <c r="D97" i="5"/>
  <c r="D98" i="5"/>
  <c r="F70" i="5"/>
  <c r="F73" i="5"/>
  <c r="D92" i="5"/>
  <c r="D130" i="5"/>
  <c r="D100" i="5"/>
</calcChain>
</file>

<file path=xl/sharedStrings.xml><?xml version="1.0" encoding="utf-8"?>
<sst xmlns="http://schemas.openxmlformats.org/spreadsheetml/2006/main" count="323" uniqueCount="127">
  <si>
    <t>Cash</t>
  </si>
  <si>
    <t>Accounts receivable</t>
  </si>
  <si>
    <t>Inventory</t>
  </si>
  <si>
    <t>Goodwill</t>
  </si>
  <si>
    <t>Total assets</t>
  </si>
  <si>
    <t>Accounts payable</t>
  </si>
  <si>
    <t>Short-term debt</t>
  </si>
  <si>
    <t>Share capital</t>
  </si>
  <si>
    <t>Retained earnings</t>
  </si>
  <si>
    <t>Total liabilities and equity</t>
  </si>
  <si>
    <t>Property, plant, equipment</t>
  </si>
  <si>
    <t>Taxes payable</t>
  </si>
  <si>
    <t>Other operating expenses</t>
  </si>
  <si>
    <t>Depreciation and amortization</t>
  </si>
  <si>
    <t>Interest expenses</t>
  </si>
  <si>
    <t>Income taxes</t>
  </si>
  <si>
    <t>Net income</t>
  </si>
  <si>
    <t>Operating assets</t>
  </si>
  <si>
    <t>Operating liabilities</t>
  </si>
  <si>
    <t>Financial liabilities</t>
  </si>
  <si>
    <t>Total liabilities &amp; equity</t>
  </si>
  <si>
    <t>NOPLAT</t>
  </si>
  <si>
    <t>+ Depreciation and amortization</t>
  </si>
  <si>
    <t>Operating cash flow</t>
  </si>
  <si>
    <t>Free cash flow</t>
  </si>
  <si>
    <t>Residual cash flow</t>
  </si>
  <si>
    <t>Change in cash</t>
  </si>
  <si>
    <t>Prepaid expenses</t>
  </si>
  <si>
    <t>Total current assets</t>
  </si>
  <si>
    <t>Assets</t>
  </si>
  <si>
    <t>Liabilities and shareholder's equity</t>
  </si>
  <si>
    <t>Total liabilities</t>
  </si>
  <si>
    <t>Total equity</t>
  </si>
  <si>
    <t>Long-term debt</t>
  </si>
  <si>
    <t>Intangible assets</t>
  </si>
  <si>
    <t>Long-term assets</t>
  </si>
  <si>
    <t>Net revenue (sales)</t>
  </si>
  <si>
    <t>­– Costs of sales (excluding depreciation and amortization)</t>
  </si>
  <si>
    <t>– Depreciation and amortization</t>
  </si>
  <si>
    <t>Gross income</t>
  </si>
  <si>
    <t>– Selling, general, and administrative (SG&amp;A) expenses</t>
  </si>
  <si>
    <t>– Other operating expenses</t>
  </si>
  <si>
    <t>Earnings before interest and taxes (EBIT)</t>
  </si>
  <si>
    <t>– Interest expenses</t>
  </si>
  <si>
    <t>Earnings before taxes (EBT)</t>
  </si>
  <si>
    <t>– Income taxes</t>
  </si>
  <si>
    <t>+ After-tax interest expenses</t>
  </si>
  <si>
    <t>- Increase in operating assets</t>
  </si>
  <si>
    <t>+ Increase in operating liabilities</t>
  </si>
  <si>
    <t>- Net investments</t>
  </si>
  <si>
    <t>- After-tax interest expenses</t>
  </si>
  <si>
    <t>- Repayment of debt</t>
  </si>
  <si>
    <t>- Dividends</t>
  </si>
  <si>
    <t>+ Equity offerings</t>
  </si>
  <si>
    <t>Income statement</t>
  </si>
  <si>
    <t>Assumption</t>
  </si>
  <si>
    <t>Explanation</t>
  </si>
  <si>
    <t>Historical value</t>
  </si>
  <si>
    <t>SG&amp;A expenses</t>
  </si>
  <si>
    <t>All excess cash is paid out</t>
  </si>
  <si>
    <t xml:space="preserve"> of net revenues</t>
  </si>
  <si>
    <t>of financial liabilities as year start</t>
  </si>
  <si>
    <t>Increaes per year</t>
  </si>
  <si>
    <t>decrease per year</t>
  </si>
  <si>
    <t>no excess cash</t>
  </si>
  <si>
    <t>Costs of sales (excluding d&amp;a)</t>
  </si>
  <si>
    <t>Assumptions</t>
  </si>
  <si>
    <t>Projections</t>
  </si>
  <si>
    <t>constant</t>
  </si>
  <si>
    <t>of net revenues</t>
  </si>
  <si>
    <t>of long-term assets at year end</t>
  </si>
  <si>
    <t>of taxable income</t>
  </si>
  <si>
    <t>Cash flow statement</t>
  </si>
  <si>
    <t>Variable</t>
  </si>
  <si>
    <t>Description</t>
  </si>
  <si>
    <t>Estimate</t>
  </si>
  <si>
    <t>E/(D+E)</t>
  </si>
  <si>
    <t>Equity ratio</t>
  </si>
  <si>
    <t>β</t>
  </si>
  <si>
    <t>Beta of the stock</t>
  </si>
  <si>
    <t>MRP</t>
  </si>
  <si>
    <t>Market risk premium</t>
  </si>
  <si>
    <t>RF</t>
  </si>
  <si>
    <t>Risk-free rate of return</t>
  </si>
  <si>
    <t>CS</t>
  </si>
  <si>
    <t>Credit spread of the debt</t>
  </si>
  <si>
    <r>
      <t>τ</t>
    </r>
    <r>
      <rPr>
        <vertAlign val="subscript"/>
        <sz val="11"/>
        <color theme="1"/>
        <rFont val="Arial Narrow"/>
        <family val="2"/>
      </rPr>
      <t>C</t>
    </r>
  </si>
  <si>
    <t>Marginal tax rate</t>
  </si>
  <si>
    <t>D/(D+E)</t>
  </si>
  <si>
    <t>Debt ratio</t>
  </si>
  <si>
    <t>kE</t>
  </si>
  <si>
    <t>kD</t>
  </si>
  <si>
    <t>WACC</t>
  </si>
  <si>
    <t>kD*(1-tc)</t>
  </si>
  <si>
    <t>Value explicit forecast period</t>
  </si>
  <si>
    <t>Growth rate in continuing value</t>
  </si>
  <si>
    <t>Continuing value (T)</t>
  </si>
  <si>
    <t>PV continuing value</t>
  </si>
  <si>
    <t>Firm value</t>
  </si>
  <si>
    <t>Simple estimation of continuing value</t>
  </si>
  <si>
    <t>Continuing value in the steady state</t>
  </si>
  <si>
    <r>
      <t>Net revenues</t>
    </r>
    <r>
      <rPr>
        <vertAlign val="subscript"/>
        <sz val="11"/>
        <color theme="1"/>
        <rFont val="Calibri"/>
        <family val="2"/>
        <scheme val="minor"/>
      </rPr>
      <t>T</t>
    </r>
  </si>
  <si>
    <t>Actual value</t>
  </si>
  <si>
    <t>Normalized value (assumption)</t>
  </si>
  <si>
    <t>EBIT margin (m)</t>
  </si>
  <si>
    <t>Tax rate (t)</t>
  </si>
  <si>
    <t>Depreciation</t>
  </si>
  <si>
    <t>Net investments</t>
  </si>
  <si>
    <t>New investments</t>
  </si>
  <si>
    <t>New investments % of NOPLAT (p)</t>
  </si>
  <si>
    <t>- Operating liabilities</t>
  </si>
  <si>
    <t>Net operating assets</t>
  </si>
  <si>
    <t>Net operating assets % of Net revenues (n)</t>
  </si>
  <si>
    <t>ROIC (assumption: WACC +1%)</t>
  </si>
  <si>
    <t>Long-term inflation</t>
  </si>
  <si>
    <t>Normalized growth rate</t>
  </si>
  <si>
    <t>Normalized FCF (T)</t>
  </si>
  <si>
    <t>PV of continuing value</t>
  </si>
  <si>
    <t>Growth in net revenues</t>
  </si>
  <si>
    <t>E2014</t>
  </si>
  <si>
    <t>E2015</t>
  </si>
  <si>
    <t>Full Balance Sheet of company X</t>
  </si>
  <si>
    <t>Simplified balance sheet of company X</t>
  </si>
  <si>
    <t>Income statement of company X</t>
  </si>
  <si>
    <t>Cash flow statement of company X</t>
  </si>
  <si>
    <r>
      <t>τ</t>
    </r>
    <r>
      <rPr>
        <vertAlign val="subscript"/>
        <sz val="11"/>
        <color theme="1"/>
        <rFont val="Calibri"/>
        <family val="2"/>
        <scheme val="minor"/>
      </rPr>
      <t>C</t>
    </r>
  </si>
  <si>
    <t>Simple (naïve) estimation of continuing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</si>
</sst>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#,##0_ ;[Red]\-#,##0\ 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vertAlign val="subscript"/>
      <sz val="11"/>
      <color theme="1"/>
      <name val="Arial Narrow"/>
      <family val="2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3" fillId="0" borderId="1" xfId="0" applyFont="1" applyBorder="1"/>
    <xf numFmtId="14" fontId="3" fillId="0" borderId="1" xfId="0" applyNumberFormat="1" applyFont="1" applyBorder="1"/>
    <xf numFmtId="3" fontId="0" fillId="0" borderId="0" xfId="0" applyNumberFormat="1"/>
    <xf numFmtId="3" fontId="3" fillId="0" borderId="1" xfId="0" applyNumberFormat="1" applyFont="1" applyBorder="1"/>
    <xf numFmtId="1" fontId="0" fillId="0" borderId="0" xfId="0" applyNumberFormat="1"/>
    <xf numFmtId="0" fontId="0" fillId="0" borderId="0" xfId="0" quotePrefix="1"/>
    <xf numFmtId="3" fontId="3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/>
    <xf numFmtId="0" fontId="6" fillId="0" borderId="1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0" fillId="0" borderId="0" xfId="0" applyBorder="1"/>
    <xf numFmtId="1" fontId="3" fillId="0" borderId="1" xfId="0" applyNumberFormat="1" applyFont="1" applyBorder="1"/>
    <xf numFmtId="0" fontId="3" fillId="0" borderId="3" xfId="0" applyFont="1" applyBorder="1"/>
    <xf numFmtId="10" fontId="3" fillId="0" borderId="3" xfId="0" applyNumberFormat="1" applyFont="1" applyBorder="1"/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164" fontId="0" fillId="0" borderId="3" xfId="0" applyNumberFormat="1" applyBorder="1"/>
    <xf numFmtId="10" fontId="0" fillId="0" borderId="3" xfId="0" applyNumberFormat="1" applyBorder="1"/>
    <xf numFmtId="0" fontId="0" fillId="0" borderId="3" xfId="0" applyBorder="1"/>
    <xf numFmtId="1" fontId="3" fillId="4" borderId="1" xfId="0" applyNumberFormat="1" applyFont="1" applyFill="1" applyBorder="1"/>
    <xf numFmtId="3" fontId="0" fillId="4" borderId="0" xfId="0" applyNumberFormat="1" applyFill="1"/>
    <xf numFmtId="0" fontId="0" fillId="4" borderId="0" xfId="0" applyFill="1"/>
    <xf numFmtId="3" fontId="3" fillId="4" borderId="1" xfId="0" applyNumberFormat="1" applyFont="1" applyFill="1" applyBorder="1"/>
    <xf numFmtId="165" fontId="0" fillId="0" borderId="0" xfId="0" applyNumberFormat="1"/>
    <xf numFmtId="165" fontId="3" fillId="0" borderId="3" xfId="0" applyNumberFormat="1" applyFont="1" applyBorder="1"/>
    <xf numFmtId="0" fontId="0" fillId="0" borderId="3" xfId="0" applyFont="1" applyBorder="1"/>
    <xf numFmtId="165" fontId="0" fillId="0" borderId="3" xfId="0" applyNumberFormat="1" applyFont="1" applyBorder="1"/>
    <xf numFmtId="166" fontId="0" fillId="0" borderId="3" xfId="0" applyNumberFormat="1" applyBorder="1"/>
    <xf numFmtId="3" fontId="3" fillId="0" borderId="3" xfId="0" applyNumberFormat="1" applyFont="1" applyBorder="1"/>
    <xf numFmtId="0" fontId="3" fillId="3" borderId="3" xfId="0" applyFont="1" applyFill="1" applyBorder="1"/>
    <xf numFmtId="165" fontId="3" fillId="3" borderId="3" xfId="0" applyNumberFormat="1" applyFont="1" applyFill="1" applyBorder="1"/>
    <xf numFmtId="0" fontId="0" fillId="0" borderId="3" xfId="0" quotePrefix="1" applyBorder="1"/>
    <xf numFmtId="0" fontId="7" fillId="0" borderId="9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9" fontId="7" fillId="5" borderId="0" xfId="0" applyNumberFormat="1" applyFont="1" applyFill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9" fontId="9" fillId="0" borderId="7" xfId="0" applyNumberFormat="1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0" fontId="9" fillId="0" borderId="7" xfId="0" applyNumberFormat="1" applyFont="1" applyBorder="1" applyAlignment="1">
      <alignment horizontal="center" vertical="center" wrapText="1"/>
    </xf>
    <xf numFmtId="10" fontId="9" fillId="5" borderId="7" xfId="0" applyNumberFormat="1" applyFont="1" applyFill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0" fillId="0" borderId="0" xfId="0" applyFont="1"/>
    <xf numFmtId="0" fontId="14" fillId="0" borderId="0" xfId="0" applyFont="1" applyAlignment="1">
      <alignment horizontal="justify" vertical="center"/>
    </xf>
    <xf numFmtId="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justify" vertical="center"/>
    </xf>
    <xf numFmtId="0" fontId="15" fillId="0" borderId="9" xfId="0" applyFont="1" applyBorder="1" applyAlignment="1">
      <alignment horizontal="center" vertical="center"/>
    </xf>
    <xf numFmtId="0" fontId="0" fillId="0" borderId="1" xfId="0" applyFont="1" applyBorder="1"/>
    <xf numFmtId="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9" fontId="14" fillId="5" borderId="0" xfId="0" applyNumberFormat="1" applyFont="1" applyFill="1" applyAlignment="1">
      <alignment horizontal="center" vertical="center"/>
    </xf>
    <xf numFmtId="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justify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Font="1" applyBorder="1"/>
    <xf numFmtId="0" fontId="14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justify" vertical="center"/>
    </xf>
    <xf numFmtId="3" fontId="0" fillId="4" borderId="0" xfId="0" applyNumberFormat="1" applyFont="1" applyFill="1"/>
    <xf numFmtId="3" fontId="0" fillId="0" borderId="0" xfId="0" applyNumberFormat="1" applyFont="1"/>
    <xf numFmtId="0" fontId="14" fillId="0" borderId="0" xfId="0" applyFont="1" applyBorder="1" applyAlignment="1">
      <alignment horizontal="justify" vertical="center"/>
    </xf>
    <xf numFmtId="0" fontId="0" fillId="0" borderId="0" xfId="0" applyFont="1" applyBorder="1"/>
    <xf numFmtId="0" fontId="0" fillId="4" borderId="0" xfId="0" applyFont="1" applyFill="1"/>
    <xf numFmtId="0" fontId="0" fillId="0" borderId="0" xfId="0" quotePrefix="1" applyFont="1"/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7" xfId="0" applyNumberFormat="1" applyFont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10" fontId="0" fillId="0" borderId="7" xfId="0" applyNumberFormat="1" applyFont="1" applyBorder="1" applyAlignment="1">
      <alignment horizontal="center" vertical="center" wrapText="1"/>
    </xf>
    <xf numFmtId="10" fontId="0" fillId="5" borderId="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/>
    </xf>
    <xf numFmtId="10" fontId="0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9" fontId="0" fillId="5" borderId="3" xfId="0" applyNumberFormat="1" applyFont="1" applyFill="1" applyBorder="1" applyAlignment="1">
      <alignment horizontal="center"/>
    </xf>
    <xf numFmtId="9" fontId="0" fillId="0" borderId="3" xfId="0" applyNumberFormat="1" applyFont="1" applyBorder="1" applyAlignment="1">
      <alignment horizontal="center"/>
    </xf>
    <xf numFmtId="0" fontId="0" fillId="0" borderId="3" xfId="0" quotePrefix="1" applyFont="1" applyBorder="1"/>
    <xf numFmtId="165" fontId="0" fillId="0" borderId="0" xfId="0" applyNumberFormat="1" applyFont="1"/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78"/>
  <sheetViews>
    <sheetView tabSelected="1" topLeftCell="A62" zoomScale="130" zoomScaleNormal="130" zoomScalePageLayoutView="130" workbookViewId="0">
      <selection activeCell="B87" sqref="B87"/>
    </sheetView>
  </sheetViews>
  <sheetFormatPr baseColWidth="10" defaultColWidth="8.83203125" defaultRowHeight="14" x14ac:dyDescent="0"/>
  <cols>
    <col min="2" max="2" width="50.83203125" customWidth="1"/>
    <col min="3" max="3" width="16.33203125" customWidth="1"/>
    <col min="4" max="4" width="15.6640625" customWidth="1"/>
    <col min="7" max="7" width="58.33203125" customWidth="1"/>
  </cols>
  <sheetData>
    <row r="4" spans="2:4">
      <c r="B4" s="123" t="s">
        <v>121</v>
      </c>
      <c r="C4" s="123"/>
      <c r="D4" s="123"/>
    </row>
    <row r="6" spans="2:4">
      <c r="B6" s="2" t="s">
        <v>29</v>
      </c>
      <c r="C6" s="3">
        <v>41274</v>
      </c>
      <c r="D6" s="3">
        <v>41639</v>
      </c>
    </row>
    <row r="7" spans="2:4">
      <c r="B7" t="s">
        <v>0</v>
      </c>
      <c r="C7" s="4">
        <v>1000</v>
      </c>
      <c r="D7" s="4">
        <v>1200</v>
      </c>
    </row>
    <row r="8" spans="2:4">
      <c r="B8" t="s">
        <v>1</v>
      </c>
      <c r="C8" s="4">
        <v>2000</v>
      </c>
      <c r="D8" s="4">
        <v>2100</v>
      </c>
    </row>
    <row r="9" spans="2:4">
      <c r="B9" t="s">
        <v>2</v>
      </c>
      <c r="C9" s="4">
        <v>1500</v>
      </c>
      <c r="D9" s="4">
        <v>1200</v>
      </c>
    </row>
    <row r="10" spans="2:4">
      <c r="B10" t="s">
        <v>27</v>
      </c>
      <c r="C10" s="4">
        <v>500</v>
      </c>
      <c r="D10" s="4">
        <v>1000</v>
      </c>
    </row>
    <row r="11" spans="2:4">
      <c r="B11" s="9" t="s">
        <v>28</v>
      </c>
      <c r="C11" s="10">
        <f>SUM(C7:C10)</f>
        <v>5000</v>
      </c>
      <c r="D11" s="10">
        <f>SUM(D7:D10)</f>
        <v>5500</v>
      </c>
    </row>
    <row r="12" spans="2:4">
      <c r="B12" t="s">
        <v>10</v>
      </c>
      <c r="C12" s="4">
        <v>8000</v>
      </c>
      <c r="D12" s="4">
        <v>9000</v>
      </c>
    </row>
    <row r="13" spans="2:4">
      <c r="B13" t="s">
        <v>34</v>
      </c>
      <c r="C13" s="4">
        <v>2500</v>
      </c>
      <c r="D13" s="4">
        <v>2000</v>
      </c>
    </row>
    <row r="14" spans="2:4">
      <c r="B14" t="s">
        <v>3</v>
      </c>
      <c r="C14" s="4">
        <v>5000</v>
      </c>
      <c r="D14" s="4">
        <v>5000</v>
      </c>
    </row>
    <row r="15" spans="2:4">
      <c r="B15" s="2" t="s">
        <v>4</v>
      </c>
      <c r="C15" s="5">
        <f>SUM(C11:C14)</f>
        <v>20500</v>
      </c>
      <c r="D15" s="5">
        <f>SUM(D11:D14)</f>
        <v>21500</v>
      </c>
    </row>
    <row r="17" spans="2:6">
      <c r="B17" s="2" t="s">
        <v>30</v>
      </c>
      <c r="C17" s="3">
        <v>41274</v>
      </c>
      <c r="D17" s="3">
        <v>41639</v>
      </c>
    </row>
    <row r="18" spans="2:6">
      <c r="B18" t="s">
        <v>5</v>
      </c>
      <c r="C18" s="4">
        <v>1500</v>
      </c>
      <c r="D18" s="4">
        <v>1700</v>
      </c>
    </row>
    <row r="19" spans="2:6">
      <c r="B19" t="s">
        <v>11</v>
      </c>
      <c r="C19" s="4">
        <v>800</v>
      </c>
      <c r="D19" s="4">
        <v>1200</v>
      </c>
    </row>
    <row r="20" spans="2:6">
      <c r="B20" t="s">
        <v>6</v>
      </c>
      <c r="C20" s="4">
        <v>2000</v>
      </c>
      <c r="D20" s="4">
        <v>0</v>
      </c>
    </row>
    <row r="21" spans="2:6">
      <c r="B21" t="s">
        <v>33</v>
      </c>
      <c r="C21" s="4">
        <v>8000</v>
      </c>
      <c r="D21" s="4">
        <v>9000</v>
      </c>
    </row>
    <row r="22" spans="2:6">
      <c r="B22" s="9" t="s">
        <v>31</v>
      </c>
      <c r="C22" s="10">
        <f>SUM(C18:C21)</f>
        <v>12300</v>
      </c>
      <c r="D22" s="10">
        <f>SUM(D18:D21)</f>
        <v>11900</v>
      </c>
    </row>
    <row r="23" spans="2:6">
      <c r="B23" t="s">
        <v>7</v>
      </c>
      <c r="C23" s="4">
        <v>100</v>
      </c>
      <c r="D23" s="4">
        <v>100</v>
      </c>
    </row>
    <row r="24" spans="2:6">
      <c r="B24" t="s">
        <v>8</v>
      </c>
      <c r="C24" s="4">
        <f>C15-C22-C23</f>
        <v>8100</v>
      </c>
      <c r="D24" s="4">
        <f>D15-D22-D23</f>
        <v>9500</v>
      </c>
    </row>
    <row r="25" spans="2:6">
      <c r="B25" s="9" t="s">
        <v>32</v>
      </c>
      <c r="C25" s="10">
        <f>SUM(C23:C24)</f>
        <v>8200</v>
      </c>
      <c r="D25" s="10">
        <f>SUM(D23:D24)</f>
        <v>9600</v>
      </c>
    </row>
    <row r="26" spans="2:6">
      <c r="B26" s="2" t="s">
        <v>9</v>
      </c>
      <c r="C26" s="5">
        <f>C25+C22</f>
        <v>20500</v>
      </c>
      <c r="D26" s="5">
        <f>D25+D22</f>
        <v>21500</v>
      </c>
    </row>
    <row r="29" spans="2:6">
      <c r="B29" s="123" t="s">
        <v>122</v>
      </c>
      <c r="C29" s="123"/>
      <c r="D29" s="123"/>
    </row>
    <row r="30" spans="2:6">
      <c r="E30" s="6"/>
      <c r="F30" s="6"/>
    </row>
    <row r="31" spans="2:6">
      <c r="B31" s="2" t="s">
        <v>29</v>
      </c>
      <c r="C31" s="3">
        <v>41274</v>
      </c>
      <c r="D31" s="3">
        <v>41639</v>
      </c>
    </row>
    <row r="32" spans="2:6">
      <c r="B32" t="s">
        <v>0</v>
      </c>
      <c r="C32" s="4">
        <f>C7</f>
        <v>1000</v>
      </c>
      <c r="D32" s="4">
        <f>D7</f>
        <v>1200</v>
      </c>
    </row>
    <row r="33" spans="2:4">
      <c r="B33" t="s">
        <v>17</v>
      </c>
      <c r="C33" s="4">
        <f>C8+C9+C10</f>
        <v>4000</v>
      </c>
      <c r="D33" s="4">
        <f>D8+D9+D10</f>
        <v>4300</v>
      </c>
    </row>
    <row r="34" spans="2:4">
      <c r="B34" t="s">
        <v>35</v>
      </c>
      <c r="C34" s="4">
        <f>C12+C13+C14</f>
        <v>15500</v>
      </c>
      <c r="D34" s="4">
        <f>D12+D13+D14</f>
        <v>16000</v>
      </c>
    </row>
    <row r="35" spans="2:4">
      <c r="B35" s="2" t="s">
        <v>4</v>
      </c>
      <c r="C35" s="5">
        <f>SUM(C32:C34)</f>
        <v>20500</v>
      </c>
      <c r="D35" s="5">
        <f>SUM(D32:D34)</f>
        <v>21500</v>
      </c>
    </row>
    <row r="37" spans="2:4">
      <c r="B37" s="2" t="s">
        <v>30</v>
      </c>
      <c r="C37" s="3">
        <v>41274</v>
      </c>
      <c r="D37" s="3">
        <v>41639</v>
      </c>
    </row>
    <row r="38" spans="2:4">
      <c r="B38" t="s">
        <v>18</v>
      </c>
      <c r="C38" s="4">
        <f>C18+C19</f>
        <v>2300</v>
      </c>
      <c r="D38" s="4">
        <f>D18+D19</f>
        <v>2900</v>
      </c>
    </row>
    <row r="39" spans="2:4">
      <c r="B39" t="s">
        <v>19</v>
      </c>
      <c r="C39" s="4">
        <f>C20+C21</f>
        <v>10000</v>
      </c>
      <c r="D39" s="4">
        <f>D20+D21</f>
        <v>9000</v>
      </c>
    </row>
    <row r="40" spans="2:4">
      <c r="B40" t="s">
        <v>7</v>
      </c>
      <c r="C40" s="4">
        <f>C23</f>
        <v>100</v>
      </c>
      <c r="D40" s="4">
        <f>D23</f>
        <v>100</v>
      </c>
    </row>
    <row r="41" spans="2:4">
      <c r="B41" t="s">
        <v>8</v>
      </c>
      <c r="C41" s="4">
        <f>C24</f>
        <v>8100</v>
      </c>
      <c r="D41" s="4">
        <f>D24</f>
        <v>9500</v>
      </c>
    </row>
    <row r="42" spans="2:4">
      <c r="B42" s="2" t="s">
        <v>20</v>
      </c>
      <c r="C42" s="5">
        <f>SUM(C38:C41)</f>
        <v>20500</v>
      </c>
      <c r="D42" s="5">
        <f>SUM(D38:D41)</f>
        <v>21500</v>
      </c>
    </row>
    <row r="45" spans="2:4">
      <c r="B45" s="123" t="s">
        <v>123</v>
      </c>
      <c r="C45" s="123"/>
      <c r="D45" s="123"/>
    </row>
    <row r="47" spans="2:4">
      <c r="B47" s="1"/>
      <c r="C47" s="1"/>
      <c r="D47" s="2">
        <v>2013</v>
      </c>
    </row>
    <row r="48" spans="2:4">
      <c r="B48" s="19" t="s">
        <v>36</v>
      </c>
      <c r="D48" s="8">
        <v>18000</v>
      </c>
    </row>
    <row r="49" spans="2:4">
      <c r="B49" s="20" t="s">
        <v>37</v>
      </c>
      <c r="D49" s="4">
        <v>8000</v>
      </c>
    </row>
    <row r="50" spans="2:4">
      <c r="B50" s="20" t="s">
        <v>38</v>
      </c>
      <c r="D50" s="4">
        <v>3000</v>
      </c>
    </row>
    <row r="51" spans="2:4">
      <c r="B51" s="18" t="s">
        <v>39</v>
      </c>
      <c r="C51" s="1"/>
      <c r="D51" s="5">
        <f>D48-D49-D50</f>
        <v>7000</v>
      </c>
    </row>
    <row r="52" spans="2:4">
      <c r="B52" s="20" t="s">
        <v>40</v>
      </c>
      <c r="D52" s="4">
        <v>2000</v>
      </c>
    </row>
    <row r="53" spans="2:4">
      <c r="B53" s="20" t="s">
        <v>41</v>
      </c>
      <c r="D53" s="4">
        <v>1000</v>
      </c>
    </row>
    <row r="54" spans="2:4">
      <c r="B54" s="18" t="s">
        <v>42</v>
      </c>
      <c r="C54" s="1"/>
      <c r="D54" s="5">
        <f>D51-SUM(D52:D53)</f>
        <v>4000</v>
      </c>
    </row>
    <row r="55" spans="2:4">
      <c r="B55" s="20" t="s">
        <v>43</v>
      </c>
      <c r="D55" s="4">
        <f>SUM(C20:C21)*0.05</f>
        <v>500</v>
      </c>
    </row>
    <row r="56" spans="2:4">
      <c r="B56" s="18" t="s">
        <v>44</v>
      </c>
      <c r="C56" s="1"/>
      <c r="D56" s="5">
        <f>D54-D55</f>
        <v>3500</v>
      </c>
    </row>
    <row r="57" spans="2:4">
      <c r="B57" s="20" t="s">
        <v>45</v>
      </c>
      <c r="D57" s="4">
        <f>D56*0.2</f>
        <v>700</v>
      </c>
    </row>
    <row r="58" spans="2:4">
      <c r="B58" s="18" t="s">
        <v>16</v>
      </c>
      <c r="C58" s="1"/>
      <c r="D58" s="5">
        <f>D56-D57</f>
        <v>2800</v>
      </c>
    </row>
    <row r="61" spans="2:4">
      <c r="B61" s="123" t="s">
        <v>124</v>
      </c>
      <c r="C61" s="123"/>
      <c r="D61" s="123"/>
    </row>
    <row r="63" spans="2:4">
      <c r="B63" s="1"/>
      <c r="C63" s="1"/>
      <c r="D63" s="2">
        <v>2013</v>
      </c>
    </row>
    <row r="64" spans="2:4">
      <c r="B64" t="s">
        <v>16</v>
      </c>
      <c r="D64" s="4">
        <f>D58</f>
        <v>2800</v>
      </c>
    </row>
    <row r="65" spans="2:4">
      <c r="B65" s="7" t="s">
        <v>46</v>
      </c>
      <c r="D65">
        <f>D55*0.8</f>
        <v>400</v>
      </c>
    </row>
    <row r="66" spans="2:4">
      <c r="B66" s="2" t="s">
        <v>21</v>
      </c>
      <c r="C66" s="2"/>
      <c r="D66" s="5">
        <f>D64+D65</f>
        <v>3200</v>
      </c>
    </row>
    <row r="67" spans="2:4">
      <c r="B67" s="7" t="s">
        <v>22</v>
      </c>
      <c r="D67">
        <f>D50</f>
        <v>3000</v>
      </c>
    </row>
    <row r="68" spans="2:4">
      <c r="B68" s="7" t="s">
        <v>47</v>
      </c>
      <c r="D68" s="4">
        <f>D33-C33</f>
        <v>300</v>
      </c>
    </row>
    <row r="69" spans="2:4">
      <c r="B69" s="7" t="s">
        <v>48</v>
      </c>
      <c r="D69" s="4">
        <f>D38-C38</f>
        <v>600</v>
      </c>
    </row>
    <row r="70" spans="2:4">
      <c r="B70" s="2" t="s">
        <v>23</v>
      </c>
      <c r="C70" s="2"/>
      <c r="D70" s="5">
        <f>D66+D67-D68+D69</f>
        <v>6500</v>
      </c>
    </row>
    <row r="71" spans="2:4">
      <c r="B71" s="7" t="s">
        <v>49</v>
      </c>
      <c r="D71" s="4">
        <f>D34-C34+D67</f>
        <v>3500</v>
      </c>
    </row>
    <row r="72" spans="2:4">
      <c r="B72" s="2" t="s">
        <v>24</v>
      </c>
      <c r="C72" s="2"/>
      <c r="D72" s="5">
        <f>D70-D71</f>
        <v>3000</v>
      </c>
    </row>
    <row r="73" spans="2:4">
      <c r="B73" s="7" t="s">
        <v>50</v>
      </c>
      <c r="D73">
        <f>D55*0.8</f>
        <v>400</v>
      </c>
    </row>
    <row r="74" spans="2:4">
      <c r="B74" s="7" t="s">
        <v>51</v>
      </c>
      <c r="D74" s="4">
        <f>C39-D39</f>
        <v>1000</v>
      </c>
    </row>
    <row r="75" spans="2:4">
      <c r="B75" s="2" t="s">
        <v>25</v>
      </c>
      <c r="C75" s="2"/>
      <c r="D75" s="5">
        <f>D72-D74-D73</f>
        <v>1600</v>
      </c>
    </row>
    <row r="76" spans="2:4">
      <c r="B76" s="7" t="s">
        <v>52</v>
      </c>
      <c r="D76" s="4">
        <f>D58-D24+C24</f>
        <v>1400</v>
      </c>
    </row>
    <row r="77" spans="2:4">
      <c r="B77" s="7" t="s">
        <v>53</v>
      </c>
      <c r="D77" s="4">
        <f>D40-C40</f>
        <v>0</v>
      </c>
    </row>
    <row r="78" spans="2:4">
      <c r="B78" s="2" t="s">
        <v>26</v>
      </c>
      <c r="C78" s="2"/>
      <c r="D78" s="5">
        <f>D75+D77-D76</f>
        <v>200</v>
      </c>
    </row>
  </sheetData>
  <mergeCells count="4">
    <mergeCell ref="B4:D4"/>
    <mergeCell ref="B29:D29"/>
    <mergeCell ref="B45:D45"/>
    <mergeCell ref="B61:D61"/>
  </mergeCells>
  <pageMargins left="0.7" right="0.7" top="0.75" bottom="0.75" header="0.3" footer="0.3"/>
  <pageSetup paperSize="9" orientation="portrait"/>
  <ignoredErrors>
    <ignoredError sqref="D55:D56" formulaRange="1"/>
    <ignoredError sqref="D57" formula="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30"/>
  <sheetViews>
    <sheetView topLeftCell="B1" workbookViewId="0">
      <selection activeCell="E90" sqref="E90"/>
    </sheetView>
  </sheetViews>
  <sheetFormatPr baseColWidth="10" defaultColWidth="8.83203125" defaultRowHeight="14" outlineLevelRow="1" x14ac:dyDescent="0"/>
  <cols>
    <col min="1" max="2" width="8.83203125" style="73"/>
    <col min="3" max="3" width="47.83203125" style="73" customWidth="1"/>
    <col min="4" max="4" width="13.5" style="73" bestFit="1" customWidth="1"/>
    <col min="5" max="5" width="27.83203125" style="73" customWidth="1"/>
    <col min="6" max="6" width="22" style="73" bestFit="1" customWidth="1"/>
    <col min="7" max="7" width="8.83203125" style="73"/>
    <col min="8" max="8" width="58.33203125" style="73" customWidth="1"/>
    <col min="9" max="16384" width="8.83203125" style="73"/>
  </cols>
  <sheetData>
    <row r="2" spans="3:6">
      <c r="C2" s="124" t="s">
        <v>66</v>
      </c>
      <c r="D2" s="124"/>
      <c r="E2" s="124"/>
      <c r="F2" s="124"/>
    </row>
    <row r="3" spans="3:6">
      <c r="C3" s="74"/>
      <c r="D3" s="75"/>
      <c r="E3" s="74"/>
      <c r="F3" s="76"/>
    </row>
    <row r="4" spans="3:6">
      <c r="C4" s="77"/>
      <c r="D4" s="78" t="s">
        <v>119</v>
      </c>
      <c r="E4" s="78" t="s">
        <v>120</v>
      </c>
      <c r="F4" s="76"/>
    </row>
    <row r="5" spans="3:6">
      <c r="C5" s="79" t="s">
        <v>118</v>
      </c>
      <c r="D5" s="80">
        <v>0.1</v>
      </c>
      <c r="E5" s="80">
        <v>0.05</v>
      </c>
    </row>
    <row r="6" spans="3:6">
      <c r="C6" s="74"/>
      <c r="D6" s="75"/>
      <c r="E6" s="74"/>
      <c r="F6" s="76"/>
    </row>
    <row r="7" spans="3:6">
      <c r="C7" s="74"/>
      <c r="D7" s="75"/>
      <c r="E7" s="74"/>
      <c r="F7" s="76"/>
    </row>
    <row r="8" spans="3:6">
      <c r="C8" s="81" t="s">
        <v>54</v>
      </c>
      <c r="D8" s="82" t="s">
        <v>55</v>
      </c>
      <c r="E8" s="81"/>
      <c r="F8" s="81" t="s">
        <v>56</v>
      </c>
    </row>
    <row r="9" spans="3:6">
      <c r="C9" s="74" t="s">
        <v>65</v>
      </c>
      <c r="D9" s="83">
        <v>0.44</v>
      </c>
      <c r="E9" s="74" t="s">
        <v>69</v>
      </c>
      <c r="F9" s="76" t="s">
        <v>57</v>
      </c>
    </row>
    <row r="10" spans="3:6">
      <c r="C10" s="74" t="s">
        <v>13</v>
      </c>
      <c r="D10" s="84">
        <v>0.19</v>
      </c>
      <c r="E10" s="74" t="s">
        <v>70</v>
      </c>
      <c r="F10" s="76" t="s">
        <v>57</v>
      </c>
    </row>
    <row r="11" spans="3:6">
      <c r="C11" s="74" t="s">
        <v>58</v>
      </c>
      <c r="D11" s="84">
        <v>0.11</v>
      </c>
      <c r="E11" s="74" t="s">
        <v>69</v>
      </c>
      <c r="F11" s="76" t="s">
        <v>57</v>
      </c>
    </row>
    <row r="12" spans="3:6">
      <c r="C12" s="74" t="s">
        <v>12</v>
      </c>
      <c r="D12" s="85">
        <v>1000</v>
      </c>
      <c r="E12" s="74" t="s">
        <v>68</v>
      </c>
      <c r="F12" s="76"/>
    </row>
    <row r="13" spans="3:6">
      <c r="C13" s="74" t="s">
        <v>14</v>
      </c>
      <c r="D13" s="86">
        <v>0.05</v>
      </c>
      <c r="E13" s="74" t="s">
        <v>61</v>
      </c>
      <c r="F13" s="76" t="s">
        <v>57</v>
      </c>
    </row>
    <row r="14" spans="3:6">
      <c r="C14" s="74" t="s">
        <v>15</v>
      </c>
      <c r="D14" s="86">
        <v>0.2</v>
      </c>
      <c r="E14" s="74" t="s">
        <v>71</v>
      </c>
      <c r="F14" s="76" t="s">
        <v>57</v>
      </c>
    </row>
    <row r="15" spans="3:6">
      <c r="C15" s="81" t="s">
        <v>29</v>
      </c>
      <c r="D15" s="82"/>
      <c r="E15" s="81"/>
      <c r="F15" s="81"/>
    </row>
    <row r="16" spans="3:6">
      <c r="C16" s="74" t="s">
        <v>0</v>
      </c>
      <c r="D16" s="87">
        <v>1200</v>
      </c>
      <c r="E16" s="74" t="s">
        <v>68</v>
      </c>
      <c r="F16" s="88" t="s">
        <v>59</v>
      </c>
    </row>
    <row r="17" spans="3:6">
      <c r="C17" s="74" t="s">
        <v>17</v>
      </c>
      <c r="D17" s="84">
        <v>0.24</v>
      </c>
      <c r="E17" s="74" t="s">
        <v>69</v>
      </c>
      <c r="F17" s="88" t="s">
        <v>57</v>
      </c>
    </row>
    <row r="18" spans="3:6">
      <c r="C18" s="74" t="s">
        <v>35</v>
      </c>
      <c r="D18" s="87">
        <v>500</v>
      </c>
      <c r="E18" s="74" t="s">
        <v>62</v>
      </c>
      <c r="F18" s="88"/>
    </row>
    <row r="19" spans="3:6">
      <c r="C19" s="81" t="s">
        <v>30</v>
      </c>
      <c r="D19" s="82"/>
      <c r="E19" s="81"/>
      <c r="F19" s="81"/>
    </row>
    <row r="20" spans="3:6">
      <c r="C20" s="74" t="s">
        <v>18</v>
      </c>
      <c r="D20" s="84">
        <v>0.16</v>
      </c>
      <c r="E20" s="74" t="s">
        <v>60</v>
      </c>
      <c r="F20" s="88" t="s">
        <v>57</v>
      </c>
    </row>
    <row r="21" spans="3:6">
      <c r="C21" s="74" t="s">
        <v>19</v>
      </c>
      <c r="D21" s="87">
        <v>1000</v>
      </c>
      <c r="E21" s="74" t="s">
        <v>63</v>
      </c>
      <c r="F21" s="88"/>
    </row>
    <row r="22" spans="3:6">
      <c r="C22" s="74" t="s">
        <v>7</v>
      </c>
      <c r="D22" s="87">
        <v>100</v>
      </c>
      <c r="E22" s="74" t="s">
        <v>68</v>
      </c>
      <c r="F22" s="88"/>
    </row>
    <row r="23" spans="3:6">
      <c r="C23" s="89" t="s">
        <v>8</v>
      </c>
      <c r="D23" s="90" t="s">
        <v>64</v>
      </c>
      <c r="E23" s="91"/>
      <c r="F23" s="92"/>
    </row>
    <row r="25" spans="3:6" outlineLevel="1"/>
    <row r="26" spans="3:6" outlineLevel="1">
      <c r="C26" s="124" t="s">
        <v>67</v>
      </c>
      <c r="D26" s="124"/>
      <c r="E26" s="124"/>
      <c r="F26" s="124"/>
    </row>
    <row r="27" spans="3:6" outlineLevel="1"/>
    <row r="28" spans="3:6" outlineLevel="1"/>
    <row r="29" spans="3:6" outlineLevel="1">
      <c r="C29" s="2" t="s">
        <v>54</v>
      </c>
      <c r="D29" s="35">
        <v>2013</v>
      </c>
      <c r="E29" s="22">
        <v>2014</v>
      </c>
      <c r="F29" s="22">
        <v>2015</v>
      </c>
    </row>
    <row r="30" spans="3:6" outlineLevel="1">
      <c r="C30" s="93" t="s">
        <v>36</v>
      </c>
      <c r="D30" s="94">
        <v>18000</v>
      </c>
      <c r="E30" s="95">
        <f>D30*(1+D5)</f>
        <v>19800</v>
      </c>
      <c r="F30" s="95">
        <f>E30*(1+E5)</f>
        <v>20790</v>
      </c>
    </row>
    <row r="31" spans="3:6" ht="17.25" customHeight="1" outlineLevel="1">
      <c r="C31" s="96" t="s">
        <v>37</v>
      </c>
      <c r="D31" s="94">
        <v>8000</v>
      </c>
      <c r="E31" s="95">
        <f>E30*$D$9</f>
        <v>8712</v>
      </c>
      <c r="F31" s="95">
        <f>F30*$D$9</f>
        <v>9147.6</v>
      </c>
    </row>
    <row r="32" spans="3:6" outlineLevel="1">
      <c r="C32" s="96" t="s">
        <v>38</v>
      </c>
      <c r="D32" s="94">
        <v>3000</v>
      </c>
      <c r="E32" s="95">
        <f>E46*$D$10</f>
        <v>3135</v>
      </c>
      <c r="F32" s="95">
        <f>F46*$D$10</f>
        <v>3230</v>
      </c>
    </row>
    <row r="33" spans="3:6" outlineLevel="1">
      <c r="C33" s="81" t="s">
        <v>39</v>
      </c>
      <c r="D33" s="38">
        <f>D30-D31-D32</f>
        <v>7000</v>
      </c>
      <c r="E33" s="5">
        <f>E30-E31-E32</f>
        <v>7953</v>
      </c>
      <c r="F33" s="5">
        <f>F30-F31-F32</f>
        <v>8412.4</v>
      </c>
    </row>
    <row r="34" spans="3:6" outlineLevel="1">
      <c r="C34" s="96" t="s">
        <v>40</v>
      </c>
      <c r="D34" s="94">
        <v>2000</v>
      </c>
      <c r="E34" s="95">
        <f>E30*$D$11</f>
        <v>2178</v>
      </c>
      <c r="F34" s="95">
        <f>F30*$D$11</f>
        <v>2286.9</v>
      </c>
    </row>
    <row r="35" spans="3:6" outlineLevel="1">
      <c r="C35" s="96" t="s">
        <v>41</v>
      </c>
      <c r="D35" s="94">
        <v>1000</v>
      </c>
      <c r="E35" s="95">
        <f>$D$12</f>
        <v>1000</v>
      </c>
      <c r="F35" s="95">
        <f>$D$12</f>
        <v>1000</v>
      </c>
    </row>
    <row r="36" spans="3:6" outlineLevel="1">
      <c r="C36" s="81" t="s">
        <v>42</v>
      </c>
      <c r="D36" s="38">
        <f>D33-SUM(D34:D35)</f>
        <v>4000</v>
      </c>
      <c r="E36" s="5">
        <f>E33-E34-E35</f>
        <v>4775</v>
      </c>
      <c r="F36" s="5">
        <f>F33-F34-F35</f>
        <v>5125.5</v>
      </c>
    </row>
    <row r="37" spans="3:6" outlineLevel="1">
      <c r="C37" s="96" t="s">
        <v>43</v>
      </c>
      <c r="D37" s="94">
        <v>500</v>
      </c>
      <c r="E37" s="95">
        <f>$D$13*D51</f>
        <v>450</v>
      </c>
      <c r="F37" s="95">
        <f>$D$13*E51</f>
        <v>400</v>
      </c>
    </row>
    <row r="38" spans="3:6" outlineLevel="1">
      <c r="C38" s="81" t="s">
        <v>44</v>
      </c>
      <c r="D38" s="38">
        <f>D36-D37</f>
        <v>3500</v>
      </c>
      <c r="E38" s="5">
        <f>E36-E37</f>
        <v>4325</v>
      </c>
      <c r="F38" s="5">
        <f>F36-F37</f>
        <v>4725.5</v>
      </c>
    </row>
    <row r="39" spans="3:6" outlineLevel="1">
      <c r="C39" s="96" t="s">
        <v>45</v>
      </c>
      <c r="D39" s="94">
        <f>D38*0.2</f>
        <v>700</v>
      </c>
      <c r="E39" s="95">
        <f>$D$14*E38</f>
        <v>865</v>
      </c>
      <c r="F39" s="95">
        <f>$D$14*F38</f>
        <v>945.1</v>
      </c>
    </row>
    <row r="40" spans="3:6" outlineLevel="1">
      <c r="C40" s="81" t="s">
        <v>16</v>
      </c>
      <c r="D40" s="38">
        <f>D38-D39</f>
        <v>2800</v>
      </c>
      <c r="E40" s="5">
        <f>E38-E39</f>
        <v>3460</v>
      </c>
      <c r="F40" s="5">
        <f>F38-F39</f>
        <v>3780.4</v>
      </c>
    </row>
    <row r="41" spans="3:6" outlineLevel="1">
      <c r="C41" s="97"/>
    </row>
    <row r="42" spans="3:6" outlineLevel="1"/>
    <row r="43" spans="3:6" outlineLevel="1">
      <c r="C43" s="2" t="s">
        <v>29</v>
      </c>
      <c r="D43" s="35">
        <v>2013</v>
      </c>
      <c r="E43" s="22">
        <v>2014</v>
      </c>
      <c r="F43" s="22">
        <v>2015</v>
      </c>
    </row>
    <row r="44" spans="3:6" outlineLevel="1">
      <c r="C44" s="73" t="s">
        <v>0</v>
      </c>
      <c r="D44" s="94">
        <v>1200</v>
      </c>
      <c r="E44" s="95">
        <f>$D$16</f>
        <v>1200</v>
      </c>
      <c r="F44" s="95">
        <f>$D$16</f>
        <v>1200</v>
      </c>
    </row>
    <row r="45" spans="3:6" outlineLevel="1">
      <c r="C45" s="73" t="s">
        <v>17</v>
      </c>
      <c r="D45" s="94">
        <v>4300</v>
      </c>
      <c r="E45" s="95">
        <f>E30*$D$17</f>
        <v>4752</v>
      </c>
      <c r="F45" s="95">
        <f>F30*$D$17</f>
        <v>4989.5999999999995</v>
      </c>
    </row>
    <row r="46" spans="3:6" outlineLevel="1">
      <c r="C46" s="73" t="s">
        <v>35</v>
      </c>
      <c r="D46" s="94">
        <v>16000</v>
      </c>
      <c r="E46" s="95">
        <f>D46+$D$18</f>
        <v>16500</v>
      </c>
      <c r="F46" s="95">
        <f>E46+$D$18</f>
        <v>17000</v>
      </c>
    </row>
    <row r="47" spans="3:6" outlineLevel="1">
      <c r="C47" s="81" t="s">
        <v>4</v>
      </c>
      <c r="D47" s="38">
        <v>21500</v>
      </c>
      <c r="E47" s="5">
        <f>SUM(E44:E46)</f>
        <v>22452</v>
      </c>
      <c r="F47" s="5">
        <f>SUM(F44:F46)</f>
        <v>23189.599999999999</v>
      </c>
    </row>
    <row r="48" spans="3:6" outlineLevel="1">
      <c r="D48" s="98"/>
    </row>
    <row r="49" spans="3:7" outlineLevel="1">
      <c r="C49" s="2" t="s">
        <v>30</v>
      </c>
      <c r="D49" s="35">
        <v>2013</v>
      </c>
      <c r="E49" s="22">
        <v>2014</v>
      </c>
      <c r="F49" s="22">
        <v>2015</v>
      </c>
    </row>
    <row r="50" spans="3:7" outlineLevel="1">
      <c r="C50" s="73" t="s">
        <v>18</v>
      </c>
      <c r="D50" s="94">
        <v>2900</v>
      </c>
      <c r="E50" s="95">
        <f>E30*$D$20</f>
        <v>3168</v>
      </c>
      <c r="F50" s="95">
        <f>F30*$D$20</f>
        <v>3326.4</v>
      </c>
    </row>
    <row r="51" spans="3:7" outlineLevel="1">
      <c r="C51" s="73" t="s">
        <v>19</v>
      </c>
      <c r="D51" s="94">
        <v>9000</v>
      </c>
      <c r="E51" s="95">
        <f>D51-$D$21</f>
        <v>8000</v>
      </c>
      <c r="F51" s="95">
        <f>E51-$D$21</f>
        <v>7000</v>
      </c>
    </row>
    <row r="52" spans="3:7" outlineLevel="1">
      <c r="C52" s="73" t="s">
        <v>7</v>
      </c>
      <c r="D52" s="94">
        <v>100</v>
      </c>
      <c r="E52" s="95">
        <f>$D$22</f>
        <v>100</v>
      </c>
      <c r="F52" s="95">
        <f>$D$22</f>
        <v>100</v>
      </c>
    </row>
    <row r="53" spans="3:7" outlineLevel="1">
      <c r="C53" s="73" t="s">
        <v>8</v>
      </c>
      <c r="D53" s="94">
        <v>9500</v>
      </c>
      <c r="E53" s="95">
        <f>E47-E50-E51-E52</f>
        <v>11184</v>
      </c>
      <c r="F53" s="95">
        <f>F47-F50-F51-F52</f>
        <v>12763.199999999997</v>
      </c>
    </row>
    <row r="54" spans="3:7" outlineLevel="1">
      <c r="C54" s="81" t="s">
        <v>20</v>
      </c>
      <c r="D54" s="38">
        <v>21500</v>
      </c>
      <c r="E54" s="5">
        <f>SUM(E50:E53)</f>
        <v>22452</v>
      </c>
      <c r="F54" s="5">
        <f>SUM(F50:F53)</f>
        <v>23189.599999999999</v>
      </c>
    </row>
    <row r="55" spans="3:7" outlineLevel="1"/>
    <row r="56" spans="3:7" outlineLevel="1"/>
    <row r="57" spans="3:7" outlineLevel="1"/>
    <row r="58" spans="3:7" outlineLevel="1">
      <c r="C58" s="2" t="s">
        <v>72</v>
      </c>
      <c r="D58" s="35">
        <v>2013</v>
      </c>
      <c r="E58" s="22">
        <v>2014</v>
      </c>
      <c r="F58" s="22">
        <v>2015</v>
      </c>
    </row>
    <row r="59" spans="3:7" outlineLevel="1">
      <c r="C59" s="73" t="s">
        <v>16</v>
      </c>
      <c r="D59" s="94">
        <v>2800</v>
      </c>
      <c r="E59" s="95">
        <f>E40</f>
        <v>3460</v>
      </c>
      <c r="F59" s="95">
        <f>F40</f>
        <v>3780.4</v>
      </c>
    </row>
    <row r="60" spans="3:7" outlineLevel="1">
      <c r="C60" s="99" t="s">
        <v>46</v>
      </c>
      <c r="D60" s="98">
        <v>400</v>
      </c>
      <c r="E60" s="73">
        <f>E37*0.8</f>
        <v>360</v>
      </c>
      <c r="F60" s="73">
        <f>F37*0.8</f>
        <v>320</v>
      </c>
    </row>
    <row r="61" spans="3:7" outlineLevel="1">
      <c r="C61" s="2" t="s">
        <v>21</v>
      </c>
      <c r="D61" s="38">
        <v>3200</v>
      </c>
      <c r="E61" s="5">
        <f>E59+E60</f>
        <v>3820</v>
      </c>
      <c r="F61" s="5">
        <f>F59+F60</f>
        <v>4100.3999999999996</v>
      </c>
    </row>
    <row r="62" spans="3:7" outlineLevel="1">
      <c r="C62" s="99" t="s">
        <v>22</v>
      </c>
      <c r="D62" s="94">
        <v>3000</v>
      </c>
      <c r="E62" s="95">
        <f>E32</f>
        <v>3135</v>
      </c>
      <c r="F62" s="95">
        <f>F32</f>
        <v>3230</v>
      </c>
      <c r="G62" s="95"/>
    </row>
    <row r="63" spans="3:7" outlineLevel="1">
      <c r="C63" s="99" t="s">
        <v>47</v>
      </c>
      <c r="D63" s="94">
        <v>300</v>
      </c>
      <c r="E63" s="95">
        <f>E45-D45</f>
        <v>452</v>
      </c>
      <c r="F63" s="95">
        <f>F45-E45</f>
        <v>237.59999999999945</v>
      </c>
    </row>
    <row r="64" spans="3:7" outlineLevel="1">
      <c r="C64" s="99" t="s">
        <v>48</v>
      </c>
      <c r="D64" s="94">
        <v>600</v>
      </c>
      <c r="E64" s="95">
        <f>E50-D50</f>
        <v>268</v>
      </c>
      <c r="F64" s="95">
        <f>F50-E50</f>
        <v>158.40000000000009</v>
      </c>
    </row>
    <row r="65" spans="3:6" outlineLevel="1">
      <c r="C65" s="2" t="s">
        <v>23</v>
      </c>
      <c r="D65" s="38">
        <v>6500</v>
      </c>
      <c r="E65" s="5">
        <f>E61+E62-E63+E64</f>
        <v>6771</v>
      </c>
      <c r="F65" s="5">
        <f>F61+F62-F63+F64</f>
        <v>7251.2000000000007</v>
      </c>
    </row>
    <row r="66" spans="3:6" outlineLevel="1">
      <c r="C66" s="99" t="s">
        <v>49</v>
      </c>
      <c r="D66" s="94">
        <v>3500</v>
      </c>
      <c r="E66" s="95">
        <f>E46-D46+E62</f>
        <v>3635</v>
      </c>
      <c r="F66" s="95">
        <f>F46-E46+F62</f>
        <v>3730</v>
      </c>
    </row>
    <row r="67" spans="3:6" outlineLevel="1">
      <c r="C67" s="2" t="s">
        <v>24</v>
      </c>
      <c r="D67" s="38">
        <v>3000</v>
      </c>
      <c r="E67" s="5">
        <f>E65-E66</f>
        <v>3136</v>
      </c>
      <c r="F67" s="5">
        <f>F65-F66</f>
        <v>3521.2000000000007</v>
      </c>
    </row>
    <row r="68" spans="3:6" outlineLevel="1">
      <c r="C68" s="99" t="s">
        <v>50</v>
      </c>
      <c r="D68" s="98">
        <v>400</v>
      </c>
      <c r="E68" s="73">
        <f>E37*0.8</f>
        <v>360</v>
      </c>
      <c r="F68" s="73">
        <f>F37*0.8</f>
        <v>320</v>
      </c>
    </row>
    <row r="69" spans="3:6" outlineLevel="1">
      <c r="C69" s="99" t="s">
        <v>51</v>
      </c>
      <c r="D69" s="94">
        <v>1000</v>
      </c>
      <c r="E69" s="95">
        <f>D51-E51</f>
        <v>1000</v>
      </c>
      <c r="F69" s="95">
        <f>E51-F51</f>
        <v>1000</v>
      </c>
    </row>
    <row r="70" spans="3:6" outlineLevel="1">
      <c r="C70" s="2" t="s">
        <v>25</v>
      </c>
      <c r="D70" s="38">
        <v>1600</v>
      </c>
      <c r="E70" s="5">
        <f>E67-E69-E68</f>
        <v>1776</v>
      </c>
      <c r="F70" s="5">
        <f>F67-F69-F68</f>
        <v>2201.2000000000007</v>
      </c>
    </row>
    <row r="71" spans="3:6" outlineLevel="1">
      <c r="C71" s="99" t="s">
        <v>52</v>
      </c>
      <c r="D71" s="94">
        <v>1400</v>
      </c>
      <c r="E71" s="95">
        <f>E40-E53+D53</f>
        <v>1776</v>
      </c>
      <c r="F71" s="95">
        <f>F40-F53+E53</f>
        <v>2201.2000000000025</v>
      </c>
    </row>
    <row r="72" spans="3:6" outlineLevel="1">
      <c r="C72" s="99" t="s">
        <v>53</v>
      </c>
      <c r="D72" s="94">
        <v>0</v>
      </c>
      <c r="E72" s="95">
        <f>E52-D52</f>
        <v>0</v>
      </c>
      <c r="F72" s="95">
        <f>F52-E52</f>
        <v>0</v>
      </c>
    </row>
    <row r="73" spans="3:6" outlineLevel="1">
      <c r="C73" s="2" t="s">
        <v>26</v>
      </c>
      <c r="D73" s="38">
        <v>200</v>
      </c>
      <c r="E73" s="5">
        <f>E70+E72-E71</f>
        <v>0</v>
      </c>
      <c r="F73" s="5">
        <f>F70+F72-F71</f>
        <v>0</v>
      </c>
    </row>
    <row r="75" spans="3:6">
      <c r="C75" s="100" t="s">
        <v>74</v>
      </c>
      <c r="D75" s="101" t="s">
        <v>73</v>
      </c>
      <c r="E75" s="102" t="s">
        <v>75</v>
      </c>
    </row>
    <row r="76" spans="3:6">
      <c r="C76" s="103" t="s">
        <v>77</v>
      </c>
      <c r="D76" s="104" t="s">
        <v>76</v>
      </c>
      <c r="E76" s="105">
        <v>0.6</v>
      </c>
    </row>
    <row r="77" spans="3:6">
      <c r="C77" s="103" t="s">
        <v>79</v>
      </c>
      <c r="D77" s="104" t="s">
        <v>78</v>
      </c>
      <c r="E77" s="106">
        <v>1.2</v>
      </c>
    </row>
    <row r="78" spans="3:6">
      <c r="C78" s="103" t="s">
        <v>81</v>
      </c>
      <c r="D78" s="104" t="s">
        <v>80</v>
      </c>
      <c r="E78" s="107">
        <v>6.5000000000000002E-2</v>
      </c>
    </row>
    <row r="79" spans="3:6">
      <c r="C79" s="103" t="s">
        <v>83</v>
      </c>
      <c r="D79" s="104" t="s">
        <v>82</v>
      </c>
      <c r="E79" s="107">
        <v>0.02</v>
      </c>
    </row>
    <row r="80" spans="3:6">
      <c r="C80" s="103" t="s">
        <v>85</v>
      </c>
      <c r="D80" s="104" t="s">
        <v>84</v>
      </c>
      <c r="E80" s="108">
        <v>0.03</v>
      </c>
    </row>
    <row r="81" spans="3:5" ht="16">
      <c r="C81" s="103" t="s">
        <v>87</v>
      </c>
      <c r="D81" s="104" t="s">
        <v>125</v>
      </c>
      <c r="E81" s="105">
        <v>0.25</v>
      </c>
    </row>
    <row r="82" spans="3:5">
      <c r="C82" s="109" t="s">
        <v>89</v>
      </c>
      <c r="D82" s="110" t="s">
        <v>88</v>
      </c>
      <c r="E82" s="111">
        <v>0.4</v>
      </c>
    </row>
    <row r="85" spans="3:5">
      <c r="C85" s="112" t="s">
        <v>90</v>
      </c>
      <c r="D85" s="113">
        <f>E79+E77*E78</f>
        <v>9.8000000000000004E-2</v>
      </c>
    </row>
    <row r="86" spans="3:5">
      <c r="C86" s="112" t="s">
        <v>91</v>
      </c>
      <c r="D86" s="114">
        <f>E79+E80</f>
        <v>0.05</v>
      </c>
    </row>
    <row r="87" spans="3:5">
      <c r="D87" s="115"/>
    </row>
    <row r="88" spans="3:5">
      <c r="C88" s="41" t="s">
        <v>93</v>
      </c>
      <c r="D88" s="116">
        <f>D86*(1-E81)</f>
        <v>3.7500000000000006E-2</v>
      </c>
    </row>
    <row r="89" spans="3:5">
      <c r="D89" s="115"/>
    </row>
    <row r="90" spans="3:5">
      <c r="C90" s="23" t="s">
        <v>92</v>
      </c>
      <c r="D90" s="68">
        <f>D88*E82+D85*E76</f>
        <v>7.3800000000000004E-2</v>
      </c>
    </row>
    <row r="91" spans="3:5">
      <c r="D91" s="115"/>
    </row>
    <row r="92" spans="3:5">
      <c r="C92" s="23" t="s">
        <v>94</v>
      </c>
      <c r="D92" s="69">
        <f>NPV(D90,'Projection and valuation'!E67:F67)</f>
        <v>5974.2925879030508</v>
      </c>
    </row>
    <row r="94" spans="3:5">
      <c r="C94" s="124" t="s">
        <v>126</v>
      </c>
      <c r="D94" s="124"/>
    </row>
    <row r="95" spans="3:5">
      <c r="C95" s="41" t="s">
        <v>95</v>
      </c>
      <c r="D95" s="117">
        <v>0.03</v>
      </c>
    </row>
    <row r="96" spans="3:5">
      <c r="D96" s="115"/>
    </row>
    <row r="97" spans="3:5">
      <c r="C97" s="41" t="s">
        <v>96</v>
      </c>
      <c r="D97" s="70">
        <f>F67*(1+D95)/(D90-'Projection and valuation'!D95)</f>
        <v>82804.474885844756</v>
      </c>
    </row>
    <row r="98" spans="3:5">
      <c r="C98" s="23" t="s">
        <v>97</v>
      </c>
      <c r="D98" s="69">
        <f>D97/(1+D90)^2</f>
        <v>71813.651222794404</v>
      </c>
    </row>
    <row r="99" spans="3:5">
      <c r="D99" s="115"/>
    </row>
    <row r="100" spans="3:5">
      <c r="C100" s="23" t="s">
        <v>98</v>
      </c>
      <c r="D100" s="69">
        <f>D98+D92</f>
        <v>77787.943810697456</v>
      </c>
    </row>
    <row r="103" spans="3:5">
      <c r="C103" s="123" t="s">
        <v>100</v>
      </c>
      <c r="D103" s="123"/>
      <c r="E103" s="123"/>
    </row>
    <row r="105" spans="3:5">
      <c r="C105" s="41"/>
      <c r="D105" s="59" t="s">
        <v>102</v>
      </c>
      <c r="E105" s="59" t="s">
        <v>103</v>
      </c>
    </row>
    <row r="106" spans="3:5" ht="16">
      <c r="C106" s="41" t="s">
        <v>101</v>
      </c>
      <c r="D106" s="118">
        <f>F30</f>
        <v>20790</v>
      </c>
      <c r="E106" s="118">
        <f>D106</f>
        <v>20790</v>
      </c>
    </row>
    <row r="107" spans="3:5">
      <c r="C107" s="41" t="s">
        <v>104</v>
      </c>
      <c r="D107" s="55">
        <f>F36/F30</f>
        <v>0.24653679653679653</v>
      </c>
      <c r="E107" s="119">
        <v>0.22</v>
      </c>
    </row>
    <row r="108" spans="3:5">
      <c r="C108" s="41" t="s">
        <v>105</v>
      </c>
      <c r="D108" s="116">
        <f>F39/F38</f>
        <v>0.2</v>
      </c>
      <c r="E108" s="116">
        <f>D108</f>
        <v>0.2</v>
      </c>
    </row>
    <row r="109" spans="3:5">
      <c r="C109" s="41"/>
      <c r="D109" s="116"/>
      <c r="E109" s="116"/>
    </row>
    <row r="110" spans="3:5">
      <c r="C110" s="41" t="s">
        <v>106</v>
      </c>
      <c r="D110" s="118">
        <f>F62</f>
        <v>3230</v>
      </c>
      <c r="E110" s="116"/>
    </row>
    <row r="111" spans="3:5">
      <c r="C111" s="41" t="s">
        <v>107</v>
      </c>
      <c r="D111" s="118">
        <f>F66</f>
        <v>3730</v>
      </c>
      <c r="E111" s="116"/>
    </row>
    <row r="112" spans="3:5">
      <c r="C112" s="41" t="s">
        <v>108</v>
      </c>
      <c r="D112" s="118">
        <f>D111-D110</f>
        <v>500</v>
      </c>
      <c r="E112" s="116"/>
    </row>
    <row r="113" spans="3:5">
      <c r="C113" s="41" t="s">
        <v>109</v>
      </c>
      <c r="D113" s="55">
        <f>D112/F61</f>
        <v>0.12193932299287875</v>
      </c>
      <c r="E113" s="120">
        <v>0.1</v>
      </c>
    </row>
    <row r="114" spans="3:5">
      <c r="C114" s="41"/>
      <c r="D114" s="116"/>
      <c r="E114" s="116"/>
    </row>
    <row r="115" spans="3:5">
      <c r="C115" s="41" t="s">
        <v>17</v>
      </c>
      <c r="D115" s="118">
        <f>F45</f>
        <v>4989.5999999999995</v>
      </c>
      <c r="E115" s="116"/>
    </row>
    <row r="116" spans="3:5">
      <c r="C116" s="121" t="s">
        <v>110</v>
      </c>
      <c r="D116" s="118">
        <f>F50</f>
        <v>3326.4</v>
      </c>
      <c r="E116" s="116"/>
    </row>
    <row r="117" spans="3:5">
      <c r="C117" s="41" t="s">
        <v>111</v>
      </c>
      <c r="D117" s="118">
        <f>D115-D116</f>
        <v>1663.1999999999994</v>
      </c>
      <c r="E117" s="116"/>
    </row>
    <row r="118" spans="3:5">
      <c r="C118" s="41" t="s">
        <v>112</v>
      </c>
      <c r="D118" s="55">
        <f>D117/D106</f>
        <v>7.9999999999999974E-2</v>
      </c>
      <c r="E118" s="117">
        <f>D118</f>
        <v>7.9999999999999974E-2</v>
      </c>
    </row>
    <row r="119" spans="3:5">
      <c r="C119" s="41"/>
      <c r="D119" s="116"/>
      <c r="E119" s="116"/>
    </row>
    <row r="120" spans="3:5">
      <c r="C120" s="41" t="s">
        <v>113</v>
      </c>
      <c r="D120" s="116"/>
      <c r="E120" s="114">
        <f>D90+0.01</f>
        <v>8.3799999999999999E-2</v>
      </c>
    </row>
    <row r="121" spans="3:5">
      <c r="C121" s="41" t="s">
        <v>114</v>
      </c>
      <c r="D121" s="116"/>
      <c r="E121" s="120">
        <v>0.01</v>
      </c>
    </row>
    <row r="124" spans="3:5">
      <c r="C124" s="23" t="s">
        <v>115</v>
      </c>
      <c r="D124" s="68">
        <f>E121+E113*(E120-E121)</f>
        <v>1.738E-2</v>
      </c>
    </row>
    <row r="125" spans="3:5">
      <c r="C125" s="23" t="s">
        <v>116</v>
      </c>
      <c r="D125" s="71">
        <f>E106*(E107*(1-E108)*(1-E113)-D124/(1+D124)*E118)</f>
        <v>3264.7233950736204</v>
      </c>
    </row>
    <row r="126" spans="3:5">
      <c r="D126" s="115"/>
    </row>
    <row r="127" spans="3:5">
      <c r="C127" s="23" t="s">
        <v>96</v>
      </c>
      <c r="D127" s="71">
        <f>D125*(1+D124)/(D90-'Projection and valuation'!D124)</f>
        <v>58870.334769230765</v>
      </c>
    </row>
    <row r="128" spans="3:5">
      <c r="C128" s="23" t="s">
        <v>117</v>
      </c>
      <c r="D128" s="71">
        <f>D127/(1+D90)^2</f>
        <v>51056.343202647375</v>
      </c>
    </row>
    <row r="129" spans="3:6">
      <c r="D129" s="115"/>
    </row>
    <row r="130" spans="3:6">
      <c r="C130" s="45" t="s">
        <v>98</v>
      </c>
      <c r="D130" s="72">
        <f>D92+D128</f>
        <v>57030.635790550426</v>
      </c>
      <c r="F130" s="122"/>
    </row>
  </sheetData>
  <scenarios current="0" show="0">
    <scenario name="Base case" locked="1" count="4" user="Urs Wälchli" comment="Created by Urs Wälchli on 30.09.2014">
      <inputCells r="D9" val="0.44" numFmtId="9"/>
      <inputCells r="E77" val="1.2"/>
      <inputCells r="E80" val="0.03" numFmtId="10"/>
      <inputCells r="E107" val="0.22" numFmtId="9"/>
    </scenario>
    <scenario name="Worst case" locked="1" count="4" user="Urs Wälchli" comment="Created by Urs Wälchli on 30.09.2014">
      <inputCells r="D9" val="0.46" numFmtId="9"/>
      <inputCells r="E77" val="1.4"/>
      <inputCells r="E80" val="0.04" numFmtId="10"/>
      <inputCells r="E107" val="0.21" numFmtId="9"/>
    </scenario>
    <scenario name="Best case" locked="1" count="4" user="Urs Wälchli" comment="Created by Urs Wälchli on 30.09.2014">
      <inputCells r="D9" val="0.42" numFmtId="9"/>
      <inputCells r="E77" val="1"/>
      <inputCells r="E80" val="0.02" numFmtId="10"/>
      <inputCells r="E107" val="0.23" numFmtId="9"/>
    </scenario>
  </scenarios>
  <mergeCells count="4">
    <mergeCell ref="C2:F2"/>
    <mergeCell ref="C26:F26"/>
    <mergeCell ref="C94:D94"/>
    <mergeCell ref="C103:E103"/>
  </mergeCells>
  <pageMargins left="0.7" right="0.7" top="0.75" bottom="0.75" header="0.3" footer="0.3"/>
  <pageSetup paperSize="9" orientation="portrait"/>
  <ignoredErrors>
    <ignoredError sqref="D39 E39:F39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30"/>
  <sheetViews>
    <sheetView topLeftCell="B82" workbookViewId="0">
      <selection activeCell="E88" sqref="E88"/>
    </sheetView>
  </sheetViews>
  <sheetFormatPr baseColWidth="10" defaultColWidth="8.83203125" defaultRowHeight="14" outlineLevelRow="1" x14ac:dyDescent="0"/>
  <cols>
    <col min="3" max="3" width="47.83203125" customWidth="1"/>
    <col min="4" max="4" width="13.5" bestFit="1" customWidth="1"/>
    <col min="5" max="5" width="27.83203125" customWidth="1"/>
    <col min="6" max="6" width="22" bestFit="1" customWidth="1"/>
    <col min="8" max="8" width="58.33203125" customWidth="1"/>
  </cols>
  <sheetData>
    <row r="2" spans="3:6">
      <c r="C2" s="124" t="s">
        <v>66</v>
      </c>
      <c r="D2" s="124"/>
      <c r="E2" s="124"/>
      <c r="F2" s="124"/>
    </row>
    <row r="3" spans="3:6">
      <c r="C3" s="11"/>
      <c r="D3" s="14"/>
      <c r="E3" s="11"/>
      <c r="F3" s="13"/>
    </row>
    <row r="4" spans="3:6">
      <c r="C4" s="48"/>
      <c r="D4" s="49" t="s">
        <v>119</v>
      </c>
      <c r="E4" s="49" t="s">
        <v>120</v>
      </c>
      <c r="F4" s="13"/>
    </row>
    <row r="5" spans="3:6">
      <c r="C5" s="1" t="s">
        <v>118</v>
      </c>
      <c r="D5" s="50">
        <v>0.1</v>
      </c>
      <c r="E5" s="50">
        <v>0.05</v>
      </c>
    </row>
    <row r="6" spans="3:6">
      <c r="C6" s="11"/>
      <c r="D6" s="14"/>
      <c r="E6" s="11"/>
      <c r="F6" s="13"/>
    </row>
    <row r="7" spans="3:6">
      <c r="C7" s="11"/>
      <c r="D7" s="14"/>
      <c r="E7" s="11"/>
      <c r="F7" s="13"/>
    </row>
    <row r="8" spans="3:6">
      <c r="C8" s="18" t="s">
        <v>54</v>
      </c>
      <c r="D8" s="18" t="s">
        <v>55</v>
      </c>
      <c r="E8" s="18"/>
      <c r="F8" s="18" t="s">
        <v>56</v>
      </c>
    </row>
    <row r="9" spans="3:6">
      <c r="C9" s="11" t="s">
        <v>65</v>
      </c>
      <c r="D9" s="61" t="e">
        <f ca="1">_xll.RiskUniform(0.42,0.46,_xll.RiskStatic(0.44))</f>
        <v>#NAME?</v>
      </c>
      <c r="E9" s="11" t="s">
        <v>69</v>
      </c>
      <c r="F9" s="13" t="s">
        <v>57</v>
      </c>
    </row>
    <row r="10" spans="3:6">
      <c r="C10" s="11" t="s">
        <v>13</v>
      </c>
      <c r="D10" s="51">
        <v>0.19</v>
      </c>
      <c r="E10" s="11" t="s">
        <v>70</v>
      </c>
      <c r="F10" s="13" t="s">
        <v>57</v>
      </c>
    </row>
    <row r="11" spans="3:6">
      <c r="C11" s="11" t="s">
        <v>58</v>
      </c>
      <c r="D11" s="51">
        <v>0.11</v>
      </c>
      <c r="E11" s="11" t="s">
        <v>69</v>
      </c>
      <c r="F11" s="13" t="s">
        <v>57</v>
      </c>
    </row>
    <row r="12" spans="3:6">
      <c r="C12" s="11" t="s">
        <v>12</v>
      </c>
      <c r="D12" s="52">
        <v>1000</v>
      </c>
      <c r="E12" s="11" t="s">
        <v>68</v>
      </c>
      <c r="F12" s="13"/>
    </row>
    <row r="13" spans="3:6">
      <c r="C13" s="11" t="s">
        <v>14</v>
      </c>
      <c r="D13" s="14">
        <v>0.05</v>
      </c>
      <c r="E13" s="11" t="s">
        <v>61</v>
      </c>
      <c r="F13" s="13" t="s">
        <v>57</v>
      </c>
    </row>
    <row r="14" spans="3:6">
      <c r="C14" s="11" t="s">
        <v>15</v>
      </c>
      <c r="D14" s="14">
        <v>0.2</v>
      </c>
      <c r="E14" s="11" t="s">
        <v>71</v>
      </c>
      <c r="F14" s="13" t="s">
        <v>57</v>
      </c>
    </row>
    <row r="15" spans="3:6">
      <c r="C15" s="18" t="s">
        <v>29</v>
      </c>
      <c r="D15" s="18"/>
      <c r="E15" s="18"/>
      <c r="F15" s="18"/>
    </row>
    <row r="16" spans="3:6">
      <c r="C16" s="11" t="s">
        <v>0</v>
      </c>
      <c r="D16" s="12">
        <v>1200</v>
      </c>
      <c r="E16" s="11" t="s">
        <v>68</v>
      </c>
      <c r="F16" s="12" t="s">
        <v>59</v>
      </c>
    </row>
    <row r="17" spans="3:6">
      <c r="C17" s="11" t="s">
        <v>17</v>
      </c>
      <c r="D17" s="51">
        <v>0.24</v>
      </c>
      <c r="E17" s="11" t="s">
        <v>69</v>
      </c>
      <c r="F17" s="12" t="s">
        <v>57</v>
      </c>
    </row>
    <row r="18" spans="3:6">
      <c r="C18" s="11" t="s">
        <v>35</v>
      </c>
      <c r="D18" s="12">
        <v>500</v>
      </c>
      <c r="E18" s="11" t="s">
        <v>62</v>
      </c>
      <c r="F18" s="12"/>
    </row>
    <row r="19" spans="3:6">
      <c r="C19" s="18" t="s">
        <v>30</v>
      </c>
      <c r="D19" s="18"/>
      <c r="E19" s="18"/>
      <c r="F19" s="18"/>
    </row>
    <row r="20" spans="3:6">
      <c r="C20" s="11" t="s">
        <v>18</v>
      </c>
      <c r="D20" s="51">
        <v>0.16</v>
      </c>
      <c r="E20" s="11" t="s">
        <v>60</v>
      </c>
      <c r="F20" s="12" t="s">
        <v>57</v>
      </c>
    </row>
    <row r="21" spans="3:6">
      <c r="C21" s="11" t="s">
        <v>19</v>
      </c>
      <c r="D21" s="12">
        <v>1000</v>
      </c>
      <c r="E21" s="11" t="s">
        <v>63</v>
      </c>
      <c r="F21" s="12"/>
    </row>
    <row r="22" spans="3:6">
      <c r="C22" s="11" t="s">
        <v>7</v>
      </c>
      <c r="D22" s="12">
        <v>100</v>
      </c>
      <c r="E22" s="11" t="s">
        <v>68</v>
      </c>
      <c r="F22" s="12"/>
    </row>
    <row r="23" spans="3:6">
      <c r="C23" s="15" t="s">
        <v>8</v>
      </c>
      <c r="D23" s="16" t="s">
        <v>64</v>
      </c>
      <c r="E23" s="17"/>
      <c r="F23" s="16"/>
    </row>
    <row r="25" spans="3:6" hidden="1" outlineLevel="1"/>
    <row r="26" spans="3:6" hidden="1" outlineLevel="1">
      <c r="C26" s="124" t="s">
        <v>67</v>
      </c>
      <c r="D26" s="124"/>
      <c r="E26" s="124"/>
      <c r="F26" s="124"/>
    </row>
    <row r="27" spans="3:6" hidden="1" outlineLevel="1"/>
    <row r="28" spans="3:6" hidden="1" outlineLevel="1"/>
    <row r="29" spans="3:6" hidden="1" outlineLevel="1">
      <c r="C29" s="2" t="s">
        <v>54</v>
      </c>
      <c r="D29" s="35">
        <v>2013</v>
      </c>
      <c r="E29" s="22">
        <v>2014</v>
      </c>
      <c r="F29" s="22">
        <v>2015</v>
      </c>
    </row>
    <row r="30" spans="3:6" hidden="1" outlineLevel="1">
      <c r="C30" s="19" t="s">
        <v>36</v>
      </c>
      <c r="D30" s="36">
        <v>18000</v>
      </c>
      <c r="E30" s="4">
        <f>D30*(1+D5)</f>
        <v>19800</v>
      </c>
      <c r="F30" s="4">
        <f>E30*(1+E5)</f>
        <v>20790</v>
      </c>
    </row>
    <row r="31" spans="3:6" ht="17.25" hidden="1" customHeight="1" outlineLevel="1">
      <c r="C31" s="20" t="s">
        <v>37</v>
      </c>
      <c r="D31" s="36">
        <v>8000</v>
      </c>
      <c r="E31" s="4" t="e">
        <f ca="1">E30*$D$9</f>
        <v>#NAME?</v>
      </c>
      <c r="F31" s="4" t="e">
        <f ca="1">F30*$D$9</f>
        <v>#NAME?</v>
      </c>
    </row>
    <row r="32" spans="3:6" hidden="1" outlineLevel="1">
      <c r="C32" s="20" t="s">
        <v>38</v>
      </c>
      <c r="D32" s="36">
        <v>3000</v>
      </c>
      <c r="E32" s="4">
        <f>E46*$D$10</f>
        <v>3135</v>
      </c>
      <c r="F32" s="4">
        <f>F46*$D$10</f>
        <v>3230</v>
      </c>
    </row>
    <row r="33" spans="3:6" hidden="1" outlineLevel="1">
      <c r="C33" s="18" t="s">
        <v>39</v>
      </c>
      <c r="D33" s="38">
        <f>D30-D31-D32</f>
        <v>7000</v>
      </c>
      <c r="E33" s="5" t="e">
        <f ca="1">E30-E31-E32</f>
        <v>#NAME?</v>
      </c>
      <c r="F33" s="5" t="e">
        <f ca="1">F30-F31-F32</f>
        <v>#NAME?</v>
      </c>
    </row>
    <row r="34" spans="3:6" hidden="1" outlineLevel="1">
      <c r="C34" s="20" t="s">
        <v>40</v>
      </c>
      <c r="D34" s="36">
        <v>2000</v>
      </c>
      <c r="E34" s="4">
        <f>E30*$D$11</f>
        <v>2178</v>
      </c>
      <c r="F34" s="4">
        <f>F30*$D$11</f>
        <v>2286.9</v>
      </c>
    </row>
    <row r="35" spans="3:6" hidden="1" outlineLevel="1">
      <c r="C35" s="20" t="s">
        <v>41</v>
      </c>
      <c r="D35" s="36">
        <v>1000</v>
      </c>
      <c r="E35" s="4">
        <f>$D$12</f>
        <v>1000</v>
      </c>
      <c r="F35" s="4">
        <f>$D$12</f>
        <v>1000</v>
      </c>
    </row>
    <row r="36" spans="3:6" hidden="1" outlineLevel="1">
      <c r="C36" s="18" t="s">
        <v>42</v>
      </c>
      <c r="D36" s="38">
        <f>D33-SUM(D34:D35)</f>
        <v>4000</v>
      </c>
      <c r="E36" s="5" t="e">
        <f ca="1">E33-E34-E35</f>
        <v>#NAME?</v>
      </c>
      <c r="F36" s="5" t="e">
        <f ca="1">F33-F34-F35</f>
        <v>#NAME?</v>
      </c>
    </row>
    <row r="37" spans="3:6" hidden="1" outlineLevel="1">
      <c r="C37" s="20" t="s">
        <v>43</v>
      </c>
      <c r="D37" s="36">
        <v>500</v>
      </c>
      <c r="E37" s="4">
        <f>$D$13*D51</f>
        <v>450</v>
      </c>
      <c r="F37" s="4">
        <f>$D$13*E51</f>
        <v>400</v>
      </c>
    </row>
    <row r="38" spans="3:6" hidden="1" outlineLevel="1">
      <c r="C38" s="18" t="s">
        <v>44</v>
      </c>
      <c r="D38" s="38">
        <f>D36-D37</f>
        <v>3500</v>
      </c>
      <c r="E38" s="5" t="e">
        <f ca="1">E36-E37</f>
        <v>#NAME?</v>
      </c>
      <c r="F38" s="5" t="e">
        <f ca="1">F36-F37</f>
        <v>#NAME?</v>
      </c>
    </row>
    <row r="39" spans="3:6" hidden="1" outlineLevel="1">
      <c r="C39" s="20" t="s">
        <v>45</v>
      </c>
      <c r="D39" s="36">
        <f>D38*0.2</f>
        <v>700</v>
      </c>
      <c r="E39" s="4" t="e">
        <f ca="1">$D$14*E38</f>
        <v>#NAME?</v>
      </c>
      <c r="F39" s="4" t="e">
        <f ca="1">$D$14*F38</f>
        <v>#NAME?</v>
      </c>
    </row>
    <row r="40" spans="3:6" hidden="1" outlineLevel="1">
      <c r="C40" s="18" t="s">
        <v>16</v>
      </c>
      <c r="D40" s="38">
        <f>D38-D39</f>
        <v>2800</v>
      </c>
      <c r="E40" s="5" t="e">
        <f ca="1">E38-E39</f>
        <v>#NAME?</v>
      </c>
      <c r="F40" s="5" t="e">
        <f ca="1">F38-F39</f>
        <v>#NAME?</v>
      </c>
    </row>
    <row r="41" spans="3:6" hidden="1" outlineLevel="1">
      <c r="C41" s="21"/>
    </row>
    <row r="42" spans="3:6" hidden="1" outlineLevel="1"/>
    <row r="43" spans="3:6" hidden="1" outlineLevel="1">
      <c r="C43" s="2" t="s">
        <v>29</v>
      </c>
      <c r="D43" s="35">
        <v>2013</v>
      </c>
      <c r="E43" s="22">
        <v>2014</v>
      </c>
      <c r="F43" s="22">
        <v>2015</v>
      </c>
    </row>
    <row r="44" spans="3:6" hidden="1" outlineLevel="1">
      <c r="C44" t="s">
        <v>0</v>
      </c>
      <c r="D44" s="36">
        <v>1200</v>
      </c>
      <c r="E44" s="4">
        <f>$D$16</f>
        <v>1200</v>
      </c>
      <c r="F44" s="4">
        <f>$D$16</f>
        <v>1200</v>
      </c>
    </row>
    <row r="45" spans="3:6" hidden="1" outlineLevel="1">
      <c r="C45" t="s">
        <v>17</v>
      </c>
      <c r="D45" s="36">
        <v>4300</v>
      </c>
      <c r="E45" s="4">
        <f>E30*$D$17</f>
        <v>4752</v>
      </c>
      <c r="F45" s="4">
        <f>F30*$D$17</f>
        <v>4989.5999999999995</v>
      </c>
    </row>
    <row r="46" spans="3:6" hidden="1" outlineLevel="1">
      <c r="C46" t="s">
        <v>35</v>
      </c>
      <c r="D46" s="36">
        <v>16000</v>
      </c>
      <c r="E46" s="4">
        <f>D46+$D$18</f>
        <v>16500</v>
      </c>
      <c r="F46" s="4">
        <f>E46+$D$18</f>
        <v>17000</v>
      </c>
    </row>
    <row r="47" spans="3:6" hidden="1" outlineLevel="1">
      <c r="C47" s="18" t="s">
        <v>4</v>
      </c>
      <c r="D47" s="38">
        <v>21500</v>
      </c>
      <c r="E47" s="5">
        <f>SUM(E44:E46)</f>
        <v>22452</v>
      </c>
      <c r="F47" s="5">
        <f>SUM(F44:F46)</f>
        <v>23189.599999999999</v>
      </c>
    </row>
    <row r="48" spans="3:6" hidden="1" outlineLevel="1">
      <c r="D48" s="37"/>
    </row>
    <row r="49" spans="3:7" hidden="1" outlineLevel="1">
      <c r="C49" s="2" t="s">
        <v>30</v>
      </c>
      <c r="D49" s="35">
        <v>2013</v>
      </c>
      <c r="E49" s="22">
        <v>2014</v>
      </c>
      <c r="F49" s="22">
        <v>2015</v>
      </c>
    </row>
    <row r="50" spans="3:7" hidden="1" outlineLevel="1">
      <c r="C50" t="s">
        <v>18</v>
      </c>
      <c r="D50" s="36">
        <v>2900</v>
      </c>
      <c r="E50" s="4">
        <f>E30*$D$20</f>
        <v>3168</v>
      </c>
      <c r="F50" s="4">
        <f>F30*$D$20</f>
        <v>3326.4</v>
      </c>
    </row>
    <row r="51" spans="3:7" hidden="1" outlineLevel="1">
      <c r="C51" t="s">
        <v>19</v>
      </c>
      <c r="D51" s="36">
        <v>9000</v>
      </c>
      <c r="E51" s="4">
        <f>D51-$D$21</f>
        <v>8000</v>
      </c>
      <c r="F51" s="4">
        <f>E51-$D$21</f>
        <v>7000</v>
      </c>
    </row>
    <row r="52" spans="3:7" hidden="1" outlineLevel="1">
      <c r="C52" t="s">
        <v>7</v>
      </c>
      <c r="D52" s="36">
        <v>100</v>
      </c>
      <c r="E52" s="4">
        <f>$D$22</f>
        <v>100</v>
      </c>
      <c r="F52" s="4">
        <f>$D$22</f>
        <v>100</v>
      </c>
    </row>
    <row r="53" spans="3:7" hidden="1" outlineLevel="1">
      <c r="C53" t="s">
        <v>8</v>
      </c>
      <c r="D53" s="36">
        <v>9500</v>
      </c>
      <c r="E53" s="4">
        <f>E47-E50-E51-E52</f>
        <v>11184</v>
      </c>
      <c r="F53" s="4">
        <f>F47-F50-F51-F52</f>
        <v>12763.199999999997</v>
      </c>
    </row>
    <row r="54" spans="3:7" hidden="1" outlineLevel="1">
      <c r="C54" s="18" t="s">
        <v>20</v>
      </c>
      <c r="D54" s="38">
        <v>21500</v>
      </c>
      <c r="E54" s="5">
        <f>SUM(E50:E53)</f>
        <v>22452</v>
      </c>
      <c r="F54" s="5">
        <f>SUM(F50:F53)</f>
        <v>23189.599999999999</v>
      </c>
    </row>
    <row r="55" spans="3:7" hidden="1" outlineLevel="1"/>
    <row r="56" spans="3:7" hidden="1" outlineLevel="1"/>
    <row r="57" spans="3:7" hidden="1" outlineLevel="1"/>
    <row r="58" spans="3:7" hidden="1" outlineLevel="1">
      <c r="C58" s="2" t="s">
        <v>72</v>
      </c>
      <c r="D58" s="35">
        <v>2013</v>
      </c>
      <c r="E58" s="22">
        <v>2014</v>
      </c>
      <c r="F58" s="22">
        <v>2015</v>
      </c>
    </row>
    <row r="59" spans="3:7" hidden="1" outlineLevel="1">
      <c r="C59" t="s">
        <v>16</v>
      </c>
      <c r="D59" s="36">
        <v>2800</v>
      </c>
      <c r="E59" s="4" t="e">
        <f ca="1">E40</f>
        <v>#NAME?</v>
      </c>
      <c r="F59" s="4" t="e">
        <f ca="1">F40</f>
        <v>#NAME?</v>
      </c>
    </row>
    <row r="60" spans="3:7" hidden="1" outlineLevel="1">
      <c r="C60" s="7" t="s">
        <v>46</v>
      </c>
      <c r="D60" s="37">
        <v>400</v>
      </c>
      <c r="E60">
        <f>E37*0.8</f>
        <v>360</v>
      </c>
      <c r="F60">
        <f>F37*0.8</f>
        <v>320</v>
      </c>
    </row>
    <row r="61" spans="3:7" hidden="1" outlineLevel="1">
      <c r="C61" s="2" t="s">
        <v>21</v>
      </c>
      <c r="D61" s="38">
        <v>3200</v>
      </c>
      <c r="E61" s="5" t="e">
        <f ca="1">E59+E60</f>
        <v>#NAME?</v>
      </c>
      <c r="F61" s="5" t="e">
        <f ca="1">F59+F60</f>
        <v>#NAME?</v>
      </c>
    </row>
    <row r="62" spans="3:7" hidden="1" outlineLevel="1">
      <c r="C62" s="7" t="s">
        <v>22</v>
      </c>
      <c r="D62" s="36">
        <v>3000</v>
      </c>
      <c r="E62" s="4">
        <f>E32</f>
        <v>3135</v>
      </c>
      <c r="F62" s="4">
        <f>F32</f>
        <v>3230</v>
      </c>
      <c r="G62" s="4"/>
    </row>
    <row r="63" spans="3:7" hidden="1" outlineLevel="1">
      <c r="C63" s="7" t="s">
        <v>47</v>
      </c>
      <c r="D63" s="36">
        <v>300</v>
      </c>
      <c r="E63" s="4">
        <f>E45-D45</f>
        <v>452</v>
      </c>
      <c r="F63" s="4">
        <f>F45-E45</f>
        <v>237.59999999999945</v>
      </c>
    </row>
    <row r="64" spans="3:7" hidden="1" outlineLevel="1">
      <c r="C64" s="7" t="s">
        <v>48</v>
      </c>
      <c r="D64" s="36">
        <v>600</v>
      </c>
      <c r="E64" s="4">
        <f>E50-D50</f>
        <v>268</v>
      </c>
      <c r="F64" s="4">
        <f>F50-E50</f>
        <v>158.40000000000009</v>
      </c>
    </row>
    <row r="65" spans="3:6" hidden="1" outlineLevel="1">
      <c r="C65" s="2" t="s">
        <v>23</v>
      </c>
      <c r="D65" s="38">
        <v>6500</v>
      </c>
      <c r="E65" s="5" t="e">
        <f ca="1">E61+E62-E63+E64</f>
        <v>#NAME?</v>
      </c>
      <c r="F65" s="5" t="e">
        <f ca="1">F61+F62-F63+F64</f>
        <v>#NAME?</v>
      </c>
    </row>
    <row r="66" spans="3:6" hidden="1" outlineLevel="1">
      <c r="C66" s="7" t="s">
        <v>49</v>
      </c>
      <c r="D66" s="36">
        <v>3500</v>
      </c>
      <c r="E66" s="4">
        <f>E46-D46+E62</f>
        <v>3635</v>
      </c>
      <c r="F66" s="4">
        <f>F46-E46+F62</f>
        <v>3730</v>
      </c>
    </row>
    <row r="67" spans="3:6" hidden="1" outlineLevel="1">
      <c r="C67" s="2" t="s">
        <v>24</v>
      </c>
      <c r="D67" s="38">
        <v>3000</v>
      </c>
      <c r="E67" s="5" t="e">
        <f ca="1">E65-E66</f>
        <v>#NAME?</v>
      </c>
      <c r="F67" s="5" t="e">
        <f ca="1">F65-F66</f>
        <v>#NAME?</v>
      </c>
    </row>
    <row r="68" spans="3:6" hidden="1" outlineLevel="1">
      <c r="C68" s="7" t="s">
        <v>50</v>
      </c>
      <c r="D68" s="37">
        <v>400</v>
      </c>
      <c r="E68">
        <f>E37*0.8</f>
        <v>360</v>
      </c>
      <c r="F68">
        <f>F37*0.8</f>
        <v>320</v>
      </c>
    </row>
    <row r="69" spans="3:6" hidden="1" outlineLevel="1">
      <c r="C69" s="7" t="s">
        <v>51</v>
      </c>
      <c r="D69" s="36">
        <v>1000</v>
      </c>
      <c r="E69" s="4">
        <f>D51-E51</f>
        <v>1000</v>
      </c>
      <c r="F69" s="4">
        <f>E51-F51</f>
        <v>1000</v>
      </c>
    </row>
    <row r="70" spans="3:6" hidden="1" outlineLevel="1">
      <c r="C70" s="2" t="s">
        <v>25</v>
      </c>
      <c r="D70" s="38">
        <v>1600</v>
      </c>
      <c r="E70" s="5" t="e">
        <f ca="1">E67-E69-E68</f>
        <v>#NAME?</v>
      </c>
      <c r="F70" s="5" t="e">
        <f ca="1">F67-F69-F68</f>
        <v>#NAME?</v>
      </c>
    </row>
    <row r="71" spans="3:6" hidden="1" outlineLevel="1">
      <c r="C71" s="7" t="s">
        <v>52</v>
      </c>
      <c r="D71" s="36">
        <v>1400</v>
      </c>
      <c r="E71" s="4" t="e">
        <f ca="1">E40-E53+D53</f>
        <v>#NAME?</v>
      </c>
      <c r="F71" s="4" t="e">
        <f ca="1">F40-F53+E53</f>
        <v>#NAME?</v>
      </c>
    </row>
    <row r="72" spans="3:6" hidden="1" outlineLevel="1">
      <c r="C72" s="7" t="s">
        <v>53</v>
      </c>
      <c r="D72" s="36">
        <v>0</v>
      </c>
      <c r="E72" s="4">
        <f>E52-D52</f>
        <v>0</v>
      </c>
      <c r="F72" s="4">
        <f>F52-E52</f>
        <v>0</v>
      </c>
    </row>
    <row r="73" spans="3:6" hidden="1" outlineLevel="1">
      <c r="C73" s="2" t="s">
        <v>26</v>
      </c>
      <c r="D73" s="38">
        <v>200</v>
      </c>
      <c r="E73" s="5" t="e">
        <f ca="1">E70+E72-E71</f>
        <v>#NAME?</v>
      </c>
      <c r="F73" s="5" t="e">
        <f ca="1">F70+F72-F71</f>
        <v>#NAME?</v>
      </c>
    </row>
    <row r="74" spans="3:6" collapsed="1"/>
    <row r="75" spans="3:6">
      <c r="C75" s="28" t="s">
        <v>74</v>
      </c>
      <c r="D75" s="27" t="s">
        <v>73</v>
      </c>
      <c r="E75" s="62" t="s">
        <v>75</v>
      </c>
    </row>
    <row r="76" spans="3:6">
      <c r="C76" s="29" t="s">
        <v>77</v>
      </c>
      <c r="D76" s="25" t="s">
        <v>76</v>
      </c>
      <c r="E76" s="63">
        <v>0.6</v>
      </c>
    </row>
    <row r="77" spans="3:6">
      <c r="C77" s="29" t="s">
        <v>79</v>
      </c>
      <c r="D77" s="25" t="s">
        <v>78</v>
      </c>
      <c r="E77" s="64" t="e">
        <f ca="1">_xll.RiskNormal(1.2,0.1,_xll.RiskStatic(1.2))</f>
        <v>#NAME?</v>
      </c>
    </row>
    <row r="78" spans="3:6">
      <c r="C78" s="29" t="s">
        <v>81</v>
      </c>
      <c r="D78" s="25" t="s">
        <v>80</v>
      </c>
      <c r="E78" s="65">
        <v>6.5000000000000002E-2</v>
      </c>
    </row>
    <row r="79" spans="3:6">
      <c r="C79" s="29" t="s">
        <v>83</v>
      </c>
      <c r="D79" s="25" t="s">
        <v>82</v>
      </c>
      <c r="E79" s="65">
        <v>0.02</v>
      </c>
    </row>
    <row r="80" spans="3:6">
      <c r="C80" s="29" t="s">
        <v>85</v>
      </c>
      <c r="D80" s="25" t="s">
        <v>84</v>
      </c>
      <c r="E80" s="66" t="e">
        <f ca="1">_xll.RiskUniform(0.02,0.04,_xll.RiskStatic(0.03))</f>
        <v>#NAME?</v>
      </c>
    </row>
    <row r="81" spans="3:5" ht="15">
      <c r="C81" s="29" t="s">
        <v>87</v>
      </c>
      <c r="D81" s="25" t="s">
        <v>86</v>
      </c>
      <c r="E81" s="63">
        <v>0.25</v>
      </c>
    </row>
    <row r="82" spans="3:5">
      <c r="C82" s="30" t="s">
        <v>89</v>
      </c>
      <c r="D82" s="26" t="s">
        <v>88</v>
      </c>
      <c r="E82" s="67">
        <v>0.4</v>
      </c>
    </row>
    <row r="85" spans="3:5">
      <c r="C85" s="31" t="s">
        <v>90</v>
      </c>
      <c r="D85" s="32" t="e">
        <f ca="1">E79+E77*E78</f>
        <v>#NAME?</v>
      </c>
    </row>
    <row r="86" spans="3:5">
      <c r="C86" s="31" t="s">
        <v>91</v>
      </c>
      <c r="D86" s="33" t="e">
        <f ca="1">E79+E80</f>
        <v>#NAME?</v>
      </c>
    </row>
    <row r="88" spans="3:5">
      <c r="C88" s="34" t="s">
        <v>93</v>
      </c>
      <c r="D88" s="34" t="e">
        <f ca="1">D86*(1-E81)</f>
        <v>#NAME?</v>
      </c>
    </row>
    <row r="90" spans="3:5">
      <c r="C90" s="23" t="s">
        <v>92</v>
      </c>
      <c r="D90" s="24" t="e">
        <f ca="1">D88*E82+D85*E76</f>
        <v>#NAME?</v>
      </c>
    </row>
    <row r="92" spans="3:5">
      <c r="C92" s="23" t="s">
        <v>94</v>
      </c>
      <c r="D92" s="40" t="e">
        <f ca="1">NPV(D90,'Simulation with @Risk'!E67:F67)</f>
        <v>#NAME?</v>
      </c>
    </row>
    <row r="94" spans="3:5">
      <c r="C94" s="124" t="s">
        <v>99</v>
      </c>
      <c r="D94" s="124"/>
    </row>
    <row r="95" spans="3:5">
      <c r="C95" s="34" t="s">
        <v>95</v>
      </c>
      <c r="D95" s="43">
        <v>0.03</v>
      </c>
    </row>
    <row r="97" spans="3:5">
      <c r="C97" s="41" t="s">
        <v>96</v>
      </c>
      <c r="D97" s="42" t="e">
        <f ca="1">F67*(1+D95)/(D90-'Simulation with @Risk'!D95)</f>
        <v>#NAME?</v>
      </c>
    </row>
    <row r="98" spans="3:5">
      <c r="C98" s="23" t="s">
        <v>97</v>
      </c>
      <c r="D98" s="40" t="e">
        <f ca="1">D97/(1+D90)^2</f>
        <v>#NAME?</v>
      </c>
    </row>
    <row r="100" spans="3:5">
      <c r="C100" s="23" t="s">
        <v>98</v>
      </c>
      <c r="D100" s="40" t="e">
        <f ca="1">D98+D92</f>
        <v>#NAME?</v>
      </c>
    </row>
    <row r="103" spans="3:5">
      <c r="C103" s="123" t="s">
        <v>100</v>
      </c>
      <c r="D103" s="123"/>
      <c r="E103" s="123"/>
    </row>
    <row r="105" spans="3:5">
      <c r="C105" s="34"/>
      <c r="D105" s="59" t="s">
        <v>102</v>
      </c>
      <c r="E105" s="59" t="s">
        <v>103</v>
      </c>
    </row>
    <row r="106" spans="3:5" ht="16">
      <c r="C106" s="34" t="s">
        <v>101</v>
      </c>
      <c r="D106" s="54">
        <f>F30</f>
        <v>20790</v>
      </c>
      <c r="E106" s="54">
        <f>D106</f>
        <v>20790</v>
      </c>
    </row>
    <row r="107" spans="3:5">
      <c r="C107" s="34" t="s">
        <v>104</v>
      </c>
      <c r="D107" s="55" t="e">
        <f ca="1">F36/F30</f>
        <v>#NAME?</v>
      </c>
      <c r="E107" s="60" t="e">
        <f ca="1">_xll.RiskUniform(0.21,0.23,_xll.RiskStatic(0.22))</f>
        <v>#NAME?</v>
      </c>
    </row>
    <row r="108" spans="3:5">
      <c r="C108" s="34" t="s">
        <v>105</v>
      </c>
      <c r="D108" s="53" t="e">
        <f ca="1">F39/F38</f>
        <v>#NAME?</v>
      </c>
      <c r="E108" s="53" t="e">
        <f ca="1">D108</f>
        <v>#NAME?</v>
      </c>
    </row>
    <row r="109" spans="3:5">
      <c r="C109" s="34"/>
      <c r="D109" s="53"/>
      <c r="E109" s="53"/>
    </row>
    <row r="110" spans="3:5">
      <c r="C110" s="34" t="s">
        <v>106</v>
      </c>
      <c r="D110" s="54">
        <f>F62</f>
        <v>3230</v>
      </c>
      <c r="E110" s="53"/>
    </row>
    <row r="111" spans="3:5">
      <c r="C111" s="34" t="s">
        <v>107</v>
      </c>
      <c r="D111" s="54">
        <f>F66</f>
        <v>3730</v>
      </c>
      <c r="E111" s="53"/>
    </row>
    <row r="112" spans="3:5">
      <c r="C112" s="34" t="s">
        <v>108</v>
      </c>
      <c r="D112" s="54">
        <f>D111-D110</f>
        <v>500</v>
      </c>
      <c r="E112" s="53"/>
    </row>
    <row r="113" spans="3:5">
      <c r="C113" s="34" t="s">
        <v>109</v>
      </c>
      <c r="D113" s="55" t="e">
        <f ca="1">D112/F61</f>
        <v>#NAME?</v>
      </c>
      <c r="E113" s="56">
        <v>0.1</v>
      </c>
    </row>
    <row r="114" spans="3:5">
      <c r="C114" s="34"/>
      <c r="D114" s="53"/>
      <c r="E114" s="53"/>
    </row>
    <row r="115" spans="3:5">
      <c r="C115" s="34" t="s">
        <v>17</v>
      </c>
      <c r="D115" s="54">
        <f>F45</f>
        <v>4989.5999999999995</v>
      </c>
      <c r="E115" s="53"/>
    </row>
    <row r="116" spans="3:5">
      <c r="C116" s="47" t="s">
        <v>110</v>
      </c>
      <c r="D116" s="54">
        <f>F50</f>
        <v>3326.4</v>
      </c>
      <c r="E116" s="53"/>
    </row>
    <row r="117" spans="3:5">
      <c r="C117" s="34" t="s">
        <v>111</v>
      </c>
      <c r="D117" s="54">
        <f>D115-D116</f>
        <v>1663.1999999999994</v>
      </c>
      <c r="E117" s="53"/>
    </row>
    <row r="118" spans="3:5">
      <c r="C118" s="34" t="s">
        <v>112</v>
      </c>
      <c r="D118" s="55">
        <f>D117/D106</f>
        <v>7.9999999999999974E-2</v>
      </c>
      <c r="E118" s="57">
        <f>D118</f>
        <v>7.9999999999999974E-2</v>
      </c>
    </row>
    <row r="119" spans="3:5">
      <c r="C119" s="34"/>
      <c r="D119" s="53"/>
      <c r="E119" s="53"/>
    </row>
    <row r="120" spans="3:5">
      <c r="C120" s="34" t="s">
        <v>113</v>
      </c>
      <c r="D120" s="53"/>
      <c r="E120" s="58" t="e">
        <f ca="1">D90+0.01</f>
        <v>#NAME?</v>
      </c>
    </row>
    <row r="121" spans="3:5">
      <c r="C121" s="34" t="s">
        <v>114</v>
      </c>
      <c r="D121" s="53"/>
      <c r="E121" s="56">
        <v>0.01</v>
      </c>
    </row>
    <row r="124" spans="3:5">
      <c r="C124" s="23" t="s">
        <v>115</v>
      </c>
      <c r="D124" s="24" t="e">
        <f ca="1">E121+E113*(E120-E121)</f>
        <v>#NAME?</v>
      </c>
    </row>
    <row r="125" spans="3:5">
      <c r="C125" s="23" t="s">
        <v>116</v>
      </c>
      <c r="D125" s="44" t="e">
        <f ca="1">E106*(E107*(1-E108)*(1-E113)-D124/(1+D124)*E118)</f>
        <v>#NAME?</v>
      </c>
    </row>
    <row r="127" spans="3:5">
      <c r="C127" s="23" t="s">
        <v>96</v>
      </c>
      <c r="D127" s="44" t="e">
        <f ca="1">D125*(1+D124)/(D90-'Simulation with @Risk'!D124)</f>
        <v>#NAME?</v>
      </c>
    </row>
    <row r="128" spans="3:5">
      <c r="C128" s="23" t="s">
        <v>117</v>
      </c>
      <c r="D128" s="44" t="e">
        <f ca="1">D127/(1+D90)^2</f>
        <v>#NAME?</v>
      </c>
    </row>
    <row r="130" spans="3:6">
      <c r="C130" s="45" t="s">
        <v>98</v>
      </c>
      <c r="D130" s="46" t="e">
        <f ca="1">_xll.RiskOutput("Firm value")+D92+D128</f>
        <v>#NAME?</v>
      </c>
      <c r="F130" s="39"/>
    </row>
  </sheetData>
  <scenarios current="0" show="0">
    <scenario name="Base case" locked="1" count="4" user="Urs Wälchli" comment="Created by Urs Wälchli on 30.09.2014">
      <inputCells r="D9" val="0.44" numFmtId="9"/>
      <inputCells r="E77" val="1.2"/>
      <inputCells r="E80" val="0.03" numFmtId="10"/>
      <inputCells r="E107" val="0.22" numFmtId="9"/>
    </scenario>
    <scenario name="Worst case" locked="1" count="4" user="Urs Wälchli" comment="Created by Urs Wälchli on 30.09.2014">
      <inputCells r="D9" val="0.46" numFmtId="9"/>
      <inputCells r="E77" val="1.4"/>
      <inputCells r="E80" val="0.04" numFmtId="10"/>
      <inputCells r="E107" val="0.21" numFmtId="9"/>
    </scenario>
    <scenario name="Best case" locked="1" count="4" user="Urs Wälchli" comment="Created by Urs Wälchli on 30.09.2014">
      <inputCells r="D9" val="0.42" numFmtId="9"/>
      <inputCells r="E77" val="1"/>
      <inputCells r="E80" val="0.02" numFmtId="10"/>
      <inputCells r="E107" val="0.23" numFmtId="9"/>
    </scenario>
  </scenarios>
  <mergeCells count="4">
    <mergeCell ref="C2:F2"/>
    <mergeCell ref="C26:F26"/>
    <mergeCell ref="C94:D94"/>
    <mergeCell ref="C103:E10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Historical data</vt:lpstr>
      <vt:lpstr>Projection and valuation</vt:lpstr>
      <vt:lpstr>Simulation with @Risk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2014-09-15T11:54:03Z</dcterms:created>
  <dcterms:modified xsi:type="dcterms:W3CDTF">2014-12-03T08:06:36Z</dcterms:modified>
</cp:coreProperties>
</file>